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hp\Desktop\OUR SAMPLES\"/>
    </mc:Choice>
  </mc:AlternateContent>
  <bookViews>
    <workbookView xWindow="0" yWindow="0" windowWidth="20490" windowHeight="7905" tabRatio="647" firstSheet="2" activeTab="2"/>
  </bookViews>
  <sheets>
    <sheet name="Chart1" sheetId="14" state="hidden" r:id="rId1"/>
    <sheet name="Sheet1" sheetId="15" state="hidden" r:id="rId2"/>
    <sheet name="DETAILED ESTIMATE" sheetId="16" r:id="rId3"/>
  </sheets>
  <definedNames>
    <definedName name="_xlnm.Print_Area" localSheetId="2">'DETAILED ESTIMATE'!$A$1:$L$1227</definedName>
  </definedNames>
  <calcPr calcId="152511"/>
</workbook>
</file>

<file path=xl/calcChain.xml><?xml version="1.0" encoding="utf-8"?>
<calcChain xmlns="http://schemas.openxmlformats.org/spreadsheetml/2006/main">
  <c r="D540" i="16" l="1"/>
  <c r="F540" i="16" s="1"/>
  <c r="K540" i="16" s="1"/>
  <c r="D539" i="16"/>
  <c r="D538" i="16"/>
  <c r="D537" i="16"/>
  <c r="D536" i="16"/>
  <c r="D535" i="16"/>
  <c r="D534" i="16"/>
  <c r="D533" i="16"/>
  <c r="F533" i="16" s="1"/>
  <c r="K533" i="16" s="1"/>
  <c r="D532" i="16"/>
  <c r="D531" i="16"/>
  <c r="F531" i="16" s="1"/>
  <c r="K531" i="16" s="1"/>
  <c r="D530" i="16"/>
  <c r="D529" i="16"/>
  <c r="F529" i="16" s="1"/>
  <c r="K529" i="16" s="1"/>
  <c r="D528" i="16"/>
  <c r="D527" i="16"/>
  <c r="F527" i="16" s="1"/>
  <c r="K527" i="16" s="1"/>
  <c r="D526" i="16"/>
  <c r="D525" i="16"/>
  <c r="F525" i="16" s="1"/>
  <c r="K525" i="16" s="1"/>
  <c r="D524" i="16"/>
  <c r="D523" i="16"/>
  <c r="F523" i="16" s="1"/>
  <c r="K523" i="16" s="1"/>
  <c r="D522" i="16"/>
  <c r="F522" i="16" s="1"/>
  <c r="K522" i="16" s="1"/>
  <c r="D521" i="16"/>
  <c r="D520" i="16"/>
  <c r="D519" i="16"/>
  <c r="D518" i="16"/>
  <c r="D517" i="16"/>
  <c r="D516" i="16"/>
  <c r="D515" i="16"/>
  <c r="D514" i="16"/>
  <c r="D513" i="16"/>
  <c r="D512" i="16"/>
  <c r="D511" i="16"/>
  <c r="D510" i="16"/>
  <c r="D509" i="16"/>
  <c r="D506" i="16"/>
  <c r="F539" i="16"/>
  <c r="K539" i="16" s="1"/>
  <c r="F538" i="16"/>
  <c r="K538" i="16" s="1"/>
  <c r="F537" i="16"/>
  <c r="K537" i="16" s="1"/>
  <c r="F536" i="16"/>
  <c r="K536" i="16" s="1"/>
  <c r="F535" i="16"/>
  <c r="K535" i="16" s="1"/>
  <c r="F534" i="16"/>
  <c r="K534" i="16" s="1"/>
  <c r="F532" i="16"/>
  <c r="K532" i="16" s="1"/>
  <c r="F530" i="16"/>
  <c r="K530" i="16" s="1"/>
  <c r="F528" i="16"/>
  <c r="K528" i="16" s="1"/>
  <c r="F526" i="16"/>
  <c r="K526" i="16" s="1"/>
  <c r="F524" i="16"/>
  <c r="K524" i="16" s="1"/>
  <c r="F521" i="16"/>
  <c r="K521" i="16" s="1"/>
  <c r="F520" i="16"/>
  <c r="K520" i="16" s="1"/>
  <c r="F519" i="16"/>
  <c r="K519" i="16" s="1"/>
  <c r="F518" i="16"/>
  <c r="K518" i="16" s="1"/>
  <c r="F517" i="16"/>
  <c r="K517" i="16" s="1"/>
  <c r="F516" i="16"/>
  <c r="K516" i="16" s="1"/>
  <c r="F515" i="16"/>
  <c r="K515" i="16" s="1"/>
  <c r="F514" i="16"/>
  <c r="K514" i="16" s="1"/>
  <c r="F513" i="16"/>
  <c r="K513" i="16" s="1"/>
  <c r="F512" i="16"/>
  <c r="K512" i="16" s="1"/>
  <c r="F511" i="16"/>
  <c r="K511" i="16" s="1"/>
  <c r="F510" i="16"/>
  <c r="K510" i="16" s="1"/>
  <c r="F509" i="16"/>
  <c r="K509" i="16" s="1"/>
  <c r="F506" i="16"/>
  <c r="K506" i="16" s="1"/>
  <c r="D505" i="16"/>
  <c r="D287" i="16" l="1"/>
  <c r="D286" i="16"/>
  <c r="D285" i="16"/>
  <c r="D284" i="16"/>
  <c r="F284" i="16" s="1"/>
  <c r="K284" i="16" s="1"/>
  <c r="D282" i="16"/>
  <c r="D281" i="16"/>
  <c r="D280" i="16"/>
  <c r="D223" i="16"/>
  <c r="F223" i="16" s="1"/>
  <c r="K223" i="16" s="1"/>
  <c r="A28" i="16"/>
  <c r="A220" i="16"/>
  <c r="A271" i="16"/>
  <c r="A277" i="16"/>
  <c r="A394" i="16"/>
  <c r="A416" i="16"/>
  <c r="A423" i="16"/>
  <c r="A464" i="16"/>
  <c r="A550" i="16"/>
  <c r="A638" i="16"/>
  <c r="A643" i="16"/>
  <c r="A649" i="16"/>
  <c r="A739" i="16"/>
  <c r="A1036" i="16"/>
  <c r="A1209" i="16"/>
  <c r="A70" i="16"/>
  <c r="A71" i="16"/>
  <c r="A115" i="16"/>
  <c r="A116" i="16"/>
  <c r="A127" i="16"/>
  <c r="A128" i="16"/>
  <c r="A133" i="16"/>
  <c r="A134" i="16"/>
  <c r="A147" i="16"/>
  <c r="A148" i="16"/>
  <c r="A157" i="16"/>
  <c r="A158" i="16"/>
  <c r="A172" i="16"/>
  <c r="A173" i="16"/>
  <c r="A219" i="16"/>
  <c r="A221" i="16"/>
  <c r="A222" i="16"/>
  <c r="A248" i="16"/>
  <c r="A249" i="16"/>
  <c r="A255" i="16"/>
  <c r="A256" i="16"/>
  <c r="A260" i="16"/>
  <c r="A261" i="16"/>
  <c r="A262" i="16"/>
  <c r="A267" i="16"/>
  <c r="A268" i="16"/>
  <c r="A270" i="16"/>
  <c r="A272" i="16"/>
  <c r="A273" i="16"/>
  <c r="A276" i="16"/>
  <c r="A278" i="16"/>
  <c r="A279" i="16"/>
  <c r="A288" i="16"/>
  <c r="A289" i="16"/>
  <c r="A373" i="16"/>
  <c r="A374" i="16"/>
  <c r="A377" i="16"/>
  <c r="A378" i="16"/>
  <c r="A383" i="16"/>
  <c r="A384" i="16"/>
  <c r="A393" i="16"/>
  <c r="A395" i="16"/>
  <c r="A396" i="16"/>
  <c r="A415" i="16"/>
  <c r="A417" i="16"/>
  <c r="A418" i="16"/>
  <c r="A422" i="16"/>
  <c r="A424" i="16"/>
  <c r="A425" i="16"/>
  <c r="A432" i="16"/>
  <c r="A433" i="16"/>
  <c r="A440" i="16"/>
  <c r="A441" i="16"/>
  <c r="A447" i="16"/>
  <c r="A448" i="16"/>
  <c r="A454" i="16"/>
  <c r="A455" i="16"/>
  <c r="A463" i="16"/>
  <c r="A465" i="16"/>
  <c r="A466" i="16"/>
  <c r="A491" i="16"/>
  <c r="A492" i="16"/>
  <c r="A507" i="16"/>
  <c r="A508" i="16"/>
  <c r="A541" i="16"/>
  <c r="A542" i="16"/>
  <c r="A545" i="16"/>
  <c r="A546" i="16"/>
  <c r="A549" i="16"/>
  <c r="A551" i="16"/>
  <c r="A552" i="16"/>
  <c r="A561" i="16"/>
  <c r="A562" i="16"/>
  <c r="A590" i="16"/>
  <c r="A591" i="16"/>
  <c r="A596" i="16"/>
  <c r="A597" i="16"/>
  <c r="A613" i="16"/>
  <c r="A614" i="16"/>
  <c r="A624" i="16"/>
  <c r="A625" i="16"/>
  <c r="A637" i="16"/>
  <c r="A639" i="16"/>
  <c r="A640" i="16"/>
  <c r="A642" i="16"/>
  <c r="A644" i="16"/>
  <c r="A645" i="16"/>
  <c r="A648" i="16"/>
  <c r="A650" i="16"/>
  <c r="A651" i="16"/>
  <c r="A698" i="16"/>
  <c r="A699" i="16"/>
  <c r="A719" i="16"/>
  <c r="A720" i="16"/>
  <c r="A730" i="16"/>
  <c r="A731" i="16"/>
  <c r="A732" i="16"/>
  <c r="A733" i="16"/>
  <c r="A736" i="16"/>
  <c r="A738" i="16"/>
  <c r="A740" i="16"/>
  <c r="A741" i="16"/>
  <c r="A834" i="16"/>
  <c r="A835" i="16"/>
  <c r="A837" i="16"/>
  <c r="A838" i="16"/>
  <c r="A938" i="16"/>
  <c r="A940" i="16"/>
  <c r="A941" i="16"/>
  <c r="A946" i="16"/>
  <c r="A947" i="16"/>
  <c r="A949" i="16"/>
  <c r="A950" i="16"/>
  <c r="A956" i="16"/>
  <c r="A957" i="16"/>
  <c r="A961" i="16"/>
  <c r="A962" i="16"/>
  <c r="A970" i="16"/>
  <c r="A971" i="16"/>
  <c r="A973" i="16"/>
  <c r="A974" i="16"/>
  <c r="A976" i="16"/>
  <c r="A977" i="16"/>
  <c r="A979" i="16"/>
  <c r="A980" i="16"/>
  <c r="A982" i="16"/>
  <c r="A983" i="16"/>
  <c r="A985" i="16"/>
  <c r="A986" i="16"/>
  <c r="A992" i="16"/>
  <c r="A993" i="16"/>
  <c r="A995" i="16"/>
  <c r="A996" i="16"/>
  <c r="A1002" i="16"/>
  <c r="A1003" i="16"/>
  <c r="A1010" i="16"/>
  <c r="A1011" i="16"/>
  <c r="A1015" i="16"/>
  <c r="A1016" i="16"/>
  <c r="A1020" i="16"/>
  <c r="A1021" i="16"/>
  <c r="A1023" i="16"/>
  <c r="A1024" i="16"/>
  <c r="A1035" i="16"/>
  <c r="A1037" i="16"/>
  <c r="A1038" i="16"/>
  <c r="A1090" i="16"/>
  <c r="A1091" i="16"/>
  <c r="A1109" i="16"/>
  <c r="A1110" i="16"/>
  <c r="A1116" i="16"/>
  <c r="A1118" i="16"/>
  <c r="A1120" i="16"/>
  <c r="A1121" i="16"/>
  <c r="A1131" i="16"/>
  <c r="A1132" i="16"/>
  <c r="A1143" i="16"/>
  <c r="A1144" i="16"/>
  <c r="A1155" i="16"/>
  <c r="A1156" i="16"/>
  <c r="A1160" i="16"/>
  <c r="A1161" i="16"/>
  <c r="A1174" i="16"/>
  <c r="A1175" i="16"/>
  <c r="A1178" i="16"/>
  <c r="A1179" i="16"/>
  <c r="A1180" i="16"/>
  <c r="A1181" i="16"/>
  <c r="A1206" i="16"/>
  <c r="A1208" i="16"/>
  <c r="A1210" i="16"/>
  <c r="A1211" i="16"/>
  <c r="A1213" i="16"/>
  <c r="A1214" i="16"/>
  <c r="A1217" i="16"/>
  <c r="A27" i="16"/>
  <c r="A29" i="16"/>
  <c r="A30" i="16"/>
  <c r="F386" i="16"/>
  <c r="K386" i="16" s="1"/>
  <c r="F387" i="16"/>
  <c r="K387" i="16" s="1"/>
  <c r="F388" i="16"/>
  <c r="K388" i="16" s="1"/>
  <c r="F389" i="16"/>
  <c r="K389" i="16" s="1"/>
  <c r="F390" i="16"/>
  <c r="K390" i="16" s="1"/>
  <c r="F391" i="16"/>
  <c r="K391" i="16" s="1"/>
  <c r="F392" i="16"/>
  <c r="K392" i="16" s="1"/>
  <c r="F385" i="16"/>
  <c r="K385" i="16" s="1"/>
  <c r="F382" i="16"/>
  <c r="K382" i="16" s="1"/>
  <c r="F381" i="16"/>
  <c r="K381" i="16" s="1"/>
  <c r="F380" i="16"/>
  <c r="K380" i="16" s="1"/>
  <c r="F376" i="16"/>
  <c r="K376" i="16" s="1"/>
  <c r="F375" i="16"/>
  <c r="K375" i="16" s="1"/>
  <c r="D317" i="16"/>
  <c r="F317" i="16" s="1"/>
  <c r="K317" i="16" s="1"/>
  <c r="F291" i="16"/>
  <c r="K291" i="16" s="1"/>
  <c r="F292" i="16"/>
  <c r="K292" i="16" s="1"/>
  <c r="F293" i="16"/>
  <c r="K293" i="16" s="1"/>
  <c r="F294" i="16"/>
  <c r="K294" i="16" s="1"/>
  <c r="F295" i="16"/>
  <c r="K295" i="16" s="1"/>
  <c r="F296" i="16"/>
  <c r="K296" i="16" s="1"/>
  <c r="F297" i="16"/>
  <c r="K297" i="16" s="1"/>
  <c r="F298" i="16"/>
  <c r="K298" i="16" s="1"/>
  <c r="F299" i="16"/>
  <c r="K299" i="16" s="1"/>
  <c r="F300" i="16"/>
  <c r="K300" i="16" s="1"/>
  <c r="F301" i="16"/>
  <c r="K301" i="16" s="1"/>
  <c r="F302" i="16"/>
  <c r="K302" i="16" s="1"/>
  <c r="F303" i="16"/>
  <c r="K303" i="16" s="1"/>
  <c r="F304" i="16"/>
  <c r="K304" i="16" s="1"/>
  <c r="F305" i="16"/>
  <c r="K305" i="16" s="1"/>
  <c r="F306" i="16"/>
  <c r="K306" i="16" s="1"/>
  <c r="F307" i="16"/>
  <c r="K307" i="16" s="1"/>
  <c r="F308" i="16"/>
  <c r="K308" i="16" s="1"/>
  <c r="F309" i="16"/>
  <c r="K309" i="16" s="1"/>
  <c r="F310" i="16"/>
  <c r="K310" i="16" s="1"/>
  <c r="F311" i="16"/>
  <c r="K311" i="16" s="1"/>
  <c r="F312" i="16"/>
  <c r="K312" i="16" s="1"/>
  <c r="F313" i="16"/>
  <c r="K313" i="16" s="1"/>
  <c r="F314" i="16"/>
  <c r="K314" i="16" s="1"/>
  <c r="F315" i="16"/>
  <c r="K315" i="16" s="1"/>
  <c r="F316" i="16"/>
  <c r="K316" i="16" s="1"/>
  <c r="F318" i="16"/>
  <c r="K318" i="16" s="1"/>
  <c r="F319" i="16"/>
  <c r="K319" i="16" s="1"/>
  <c r="F320" i="16"/>
  <c r="K320" i="16" s="1"/>
  <c r="F321" i="16"/>
  <c r="K321" i="16" s="1"/>
  <c r="F322" i="16"/>
  <c r="K322" i="16" s="1"/>
  <c r="F323" i="16"/>
  <c r="K323" i="16" s="1"/>
  <c r="F324" i="16"/>
  <c r="K324" i="16" s="1"/>
  <c r="F325" i="16"/>
  <c r="K325" i="16" s="1"/>
  <c r="F326" i="16"/>
  <c r="K326" i="16" s="1"/>
  <c r="F327" i="16"/>
  <c r="K327" i="16" s="1"/>
  <c r="F328" i="16"/>
  <c r="K328" i="16" s="1"/>
  <c r="F329" i="16"/>
  <c r="K329" i="16" s="1"/>
  <c r="F330" i="16"/>
  <c r="K330" i="16" s="1"/>
  <c r="F331" i="16"/>
  <c r="K331" i="16" s="1"/>
  <c r="F332" i="16"/>
  <c r="K332" i="16" s="1"/>
  <c r="F333" i="16"/>
  <c r="K333" i="16" s="1"/>
  <c r="F334" i="16"/>
  <c r="K334" i="16" s="1"/>
  <c r="F335" i="16"/>
  <c r="K335" i="16" s="1"/>
  <c r="F336" i="16"/>
  <c r="K336" i="16" s="1"/>
  <c r="F337" i="16"/>
  <c r="K337" i="16" s="1"/>
  <c r="F338" i="16"/>
  <c r="K338" i="16" s="1"/>
  <c r="F339" i="16"/>
  <c r="K339" i="16" s="1"/>
  <c r="F340" i="16"/>
  <c r="K340" i="16" s="1"/>
  <c r="F341" i="16"/>
  <c r="K341" i="16" s="1"/>
  <c r="F342" i="16"/>
  <c r="K342" i="16" s="1"/>
  <c r="F343" i="16"/>
  <c r="K343" i="16" s="1"/>
  <c r="F344" i="16"/>
  <c r="K344" i="16" s="1"/>
  <c r="F345" i="16"/>
  <c r="K345" i="16" s="1"/>
  <c r="F346" i="16"/>
  <c r="K346" i="16" s="1"/>
  <c r="F347" i="16"/>
  <c r="K347" i="16" s="1"/>
  <c r="F348" i="16"/>
  <c r="K348" i="16" s="1"/>
  <c r="F349" i="16"/>
  <c r="K349" i="16" s="1"/>
  <c r="F350" i="16"/>
  <c r="K350" i="16" s="1"/>
  <c r="F351" i="16"/>
  <c r="K351" i="16" s="1"/>
  <c r="F352" i="16"/>
  <c r="K352" i="16" s="1"/>
  <c r="F353" i="16"/>
  <c r="K353" i="16" s="1"/>
  <c r="F354" i="16"/>
  <c r="K354" i="16" s="1"/>
  <c r="F355" i="16"/>
  <c r="K355" i="16" s="1"/>
  <c r="F356" i="16"/>
  <c r="K356" i="16" s="1"/>
  <c r="F357" i="16"/>
  <c r="K357" i="16" s="1"/>
  <c r="F358" i="16"/>
  <c r="K358" i="16" s="1"/>
  <c r="F359" i="16"/>
  <c r="K359" i="16" s="1"/>
  <c r="F360" i="16"/>
  <c r="K360" i="16" s="1"/>
  <c r="F361" i="16"/>
  <c r="K361" i="16" s="1"/>
  <c r="F362" i="16"/>
  <c r="K362" i="16" s="1"/>
  <c r="F363" i="16"/>
  <c r="K363" i="16" s="1"/>
  <c r="F364" i="16"/>
  <c r="K364" i="16" s="1"/>
  <c r="F365" i="16"/>
  <c r="K365" i="16" s="1"/>
  <c r="F366" i="16"/>
  <c r="K366" i="16" s="1"/>
  <c r="F367" i="16"/>
  <c r="K367" i="16" s="1"/>
  <c r="F368" i="16"/>
  <c r="K368" i="16" s="1"/>
  <c r="F369" i="16"/>
  <c r="K369" i="16" s="1"/>
  <c r="F370" i="16"/>
  <c r="K370" i="16" s="1"/>
  <c r="F371" i="16"/>
  <c r="K371" i="16" s="1"/>
  <c r="F372" i="16"/>
  <c r="K372" i="16" s="1"/>
  <c r="F290" i="16"/>
  <c r="K290" i="16" s="1"/>
  <c r="F282" i="16"/>
  <c r="K282" i="16" s="1"/>
  <c r="F286" i="16"/>
  <c r="K286" i="16" s="1"/>
  <c r="F280" i="16"/>
  <c r="K280" i="16" s="1"/>
  <c r="F287" i="16"/>
  <c r="K287" i="16" s="1"/>
  <c r="F285" i="16"/>
  <c r="K285" i="16" s="1"/>
  <c r="F283" i="16"/>
  <c r="K283" i="16" s="1"/>
  <c r="F281" i="16"/>
  <c r="K281" i="16" s="1"/>
  <c r="F69" i="16"/>
  <c r="K69" i="16" s="1"/>
  <c r="F68" i="16"/>
  <c r="K68" i="16" s="1"/>
  <c r="F50" i="16"/>
  <c r="K50" i="16" s="1"/>
  <c r="F49" i="16"/>
  <c r="K49" i="16" s="1"/>
  <c r="D379" i="16"/>
  <c r="F379" i="16" s="1"/>
  <c r="K379" i="16" s="1"/>
  <c r="D266" i="16"/>
  <c r="F266" i="16" s="1"/>
  <c r="K266" i="16" s="1"/>
  <c r="D254" i="16"/>
  <c r="F254" i="16" s="1"/>
  <c r="K254" i="16" s="1"/>
  <c r="D253" i="16"/>
  <c r="F253" i="16" s="1"/>
  <c r="K253" i="16" s="1"/>
  <c r="D252" i="16"/>
  <c r="F252" i="16" s="1"/>
  <c r="K252" i="16" s="1"/>
  <c r="D251" i="16"/>
  <c r="F251" i="16" s="1"/>
  <c r="K251" i="16" s="1"/>
  <c r="D250" i="16"/>
  <c r="F250" i="16" s="1"/>
  <c r="K250" i="16" s="1"/>
  <c r="D247" i="16"/>
  <c r="F247" i="16" s="1"/>
  <c r="K247" i="16" s="1"/>
  <c r="D246" i="16"/>
  <c r="F246" i="16" s="1"/>
  <c r="K246" i="16" s="1"/>
  <c r="D245" i="16"/>
  <c r="F245" i="16" s="1"/>
  <c r="K245" i="16" s="1"/>
  <c r="D257" i="16"/>
  <c r="F257" i="16" s="1"/>
  <c r="K257" i="16" s="1"/>
  <c r="D260" i="16"/>
  <c r="D244" i="16"/>
  <c r="F244" i="16" s="1"/>
  <c r="K244" i="16" s="1"/>
  <c r="D243" i="16"/>
  <c r="F243" i="16" s="1"/>
  <c r="K243" i="16" s="1"/>
  <c r="D410" i="16"/>
  <c r="D411" i="16"/>
  <c r="D412" i="16"/>
  <c r="D409" i="16"/>
  <c r="D408" i="16"/>
  <c r="D400" i="16"/>
  <c r="D554" i="16"/>
  <c r="F269" i="16"/>
  <c r="K269" i="16" s="1"/>
  <c r="D631" i="16"/>
  <c r="F631" i="16" s="1"/>
  <c r="K631" i="16" s="1"/>
  <c r="D632" i="16"/>
  <c r="F632" i="16" s="1"/>
  <c r="K632" i="16" s="1"/>
  <c r="F264" i="16"/>
  <c r="K264" i="16" s="1"/>
  <c r="F263" i="16"/>
  <c r="K263" i="16" s="1"/>
  <c r="D258" i="16"/>
  <c r="F258" i="16" s="1"/>
  <c r="K258" i="16" s="1"/>
  <c r="D259" i="16"/>
  <c r="F259" i="16" s="1"/>
  <c r="K259" i="16" s="1"/>
  <c r="D242" i="16"/>
  <c r="F242" i="16" s="1"/>
  <c r="K242" i="16" s="1"/>
  <c r="D241" i="16"/>
  <c r="F241" i="16" s="1"/>
  <c r="K241" i="16" s="1"/>
  <c r="D240" i="16"/>
  <c r="F240" i="16" s="1"/>
  <c r="K240" i="16" s="1"/>
  <c r="D239" i="16"/>
  <c r="F239" i="16" s="1"/>
  <c r="K239" i="16" s="1"/>
  <c r="D238" i="16"/>
  <c r="F238" i="16" s="1"/>
  <c r="K238" i="16" s="1"/>
  <c r="D237" i="16"/>
  <c r="F237" i="16" s="1"/>
  <c r="K237" i="16" s="1"/>
  <c r="D236" i="16"/>
  <c r="F236" i="16" s="1"/>
  <c r="K236" i="16" s="1"/>
  <c r="D235" i="16"/>
  <c r="F235" i="16" s="1"/>
  <c r="K235" i="16" s="1"/>
  <c r="D234" i="16"/>
  <c r="F234" i="16" s="1"/>
  <c r="K234" i="16" s="1"/>
  <c r="D233" i="16"/>
  <c r="F233" i="16" s="1"/>
  <c r="K233" i="16" s="1"/>
  <c r="D232" i="16"/>
  <c r="F232" i="16" s="1"/>
  <c r="K232" i="16" s="1"/>
  <c r="D231" i="16"/>
  <c r="F231" i="16" s="1"/>
  <c r="K231" i="16" s="1"/>
  <c r="D230" i="16"/>
  <c r="F230" i="16" s="1"/>
  <c r="K230" i="16" s="1"/>
  <c r="D229" i="16"/>
  <c r="F229" i="16" s="1"/>
  <c r="K229" i="16" s="1"/>
  <c r="D228" i="16"/>
  <c r="F228" i="16" s="1"/>
  <c r="K228" i="16" s="1"/>
  <c r="D227" i="16"/>
  <c r="F227" i="16" s="1"/>
  <c r="K227" i="16" s="1"/>
  <c r="D226" i="16"/>
  <c r="F226" i="16" s="1"/>
  <c r="K226" i="16" s="1"/>
  <c r="D225" i="16"/>
  <c r="F225" i="16" s="1"/>
  <c r="K225" i="16" s="1"/>
  <c r="D224" i="16"/>
  <c r="F224" i="16" s="1"/>
  <c r="K224" i="16" s="1"/>
  <c r="D265" i="16"/>
  <c r="F265" i="16" s="1"/>
  <c r="K265" i="16" s="1"/>
  <c r="D407" i="16"/>
  <c r="D406" i="16"/>
  <c r="D405" i="16"/>
  <c r="D402" i="16"/>
  <c r="D401" i="16"/>
  <c r="D398" i="16"/>
  <c r="D397" i="16"/>
  <c r="D275" i="16"/>
  <c r="D274" i="16"/>
  <c r="F164" i="16"/>
  <c r="K164" i="16" s="1"/>
  <c r="F165" i="16"/>
  <c r="K165" i="16" s="1"/>
  <c r="F166" i="16"/>
  <c r="K166" i="16" s="1"/>
  <c r="F167" i="16"/>
  <c r="K167" i="16" s="1"/>
  <c r="F168" i="16"/>
  <c r="K168" i="16" s="1"/>
  <c r="F169" i="16"/>
  <c r="K169" i="16" s="1"/>
  <c r="F170" i="16"/>
  <c r="K170" i="16" s="1"/>
  <c r="F171" i="16"/>
  <c r="K171" i="16" s="1"/>
  <c r="F163" i="16"/>
  <c r="K163" i="16" s="1"/>
  <c r="F162" i="16"/>
  <c r="K162" i="16" s="1"/>
  <c r="F161" i="16"/>
  <c r="K161" i="16" s="1"/>
  <c r="F159" i="16"/>
  <c r="K159" i="16" s="1"/>
  <c r="F156" i="16"/>
  <c r="K156" i="16" s="1"/>
  <c r="F155" i="16"/>
  <c r="K155" i="16" s="1"/>
  <c r="F154" i="16"/>
  <c r="K154" i="16" s="1"/>
  <c r="F153" i="16"/>
  <c r="K153" i="16" s="1"/>
  <c r="F150" i="16"/>
  <c r="K150" i="16" s="1"/>
  <c r="F149" i="16"/>
  <c r="K149" i="16" s="1"/>
  <c r="F548" i="16"/>
  <c r="K548" i="16" s="1"/>
  <c r="F547" i="16"/>
  <c r="K547" i="16" s="1"/>
  <c r="F544" i="16"/>
  <c r="K544" i="16" s="1"/>
  <c r="F543" i="16"/>
  <c r="K543" i="16" s="1"/>
  <c r="F494" i="16"/>
  <c r="K494" i="16" s="1"/>
  <c r="F495" i="16"/>
  <c r="K495" i="16" s="1"/>
  <c r="F496" i="16"/>
  <c r="K496" i="16" s="1"/>
  <c r="F497" i="16"/>
  <c r="K497" i="16" s="1"/>
  <c r="F498" i="16"/>
  <c r="K498" i="16" s="1"/>
  <c r="F499" i="16"/>
  <c r="K499" i="16" s="1"/>
  <c r="F500" i="16"/>
  <c r="K500" i="16" s="1"/>
  <c r="F501" i="16"/>
  <c r="K501" i="16" s="1"/>
  <c r="F502" i="16"/>
  <c r="K502" i="16" s="1"/>
  <c r="F503" i="16"/>
  <c r="K503" i="16" s="1"/>
  <c r="F504" i="16"/>
  <c r="K504" i="16" s="1"/>
  <c r="F505" i="16"/>
  <c r="K505" i="16" s="1"/>
  <c r="F493" i="16"/>
  <c r="K493" i="16" s="1"/>
  <c r="F468" i="16"/>
  <c r="K468" i="16" s="1"/>
  <c r="F469" i="16"/>
  <c r="K469" i="16" s="1"/>
  <c r="F470" i="16"/>
  <c r="K470" i="16" s="1"/>
  <c r="F471" i="16"/>
  <c r="K471" i="16" s="1"/>
  <c r="F472" i="16"/>
  <c r="K472" i="16" s="1"/>
  <c r="F473" i="16"/>
  <c r="K473" i="16" s="1"/>
  <c r="F474" i="16"/>
  <c r="K474" i="16" s="1"/>
  <c r="F475" i="16"/>
  <c r="K475" i="16" s="1"/>
  <c r="F476" i="16"/>
  <c r="K476" i="16" s="1"/>
  <c r="F477" i="16"/>
  <c r="K477" i="16" s="1"/>
  <c r="F478" i="16"/>
  <c r="K478" i="16" s="1"/>
  <c r="F479" i="16"/>
  <c r="K479" i="16" s="1"/>
  <c r="F480" i="16"/>
  <c r="K480" i="16" s="1"/>
  <c r="F481" i="16"/>
  <c r="K481" i="16" s="1"/>
  <c r="F482" i="16"/>
  <c r="K482" i="16" s="1"/>
  <c r="F483" i="16"/>
  <c r="K483" i="16" s="1"/>
  <c r="F484" i="16"/>
  <c r="K484" i="16" s="1"/>
  <c r="F485" i="16"/>
  <c r="K485" i="16" s="1"/>
  <c r="F486" i="16"/>
  <c r="K486" i="16" s="1"/>
  <c r="F487" i="16"/>
  <c r="K487" i="16" s="1"/>
  <c r="F488" i="16"/>
  <c r="K488" i="16" s="1"/>
  <c r="F489" i="16"/>
  <c r="K489" i="16" s="1"/>
  <c r="F490" i="16"/>
  <c r="K490" i="16" s="1"/>
  <c r="F467" i="16"/>
  <c r="K467" i="16" s="1"/>
  <c r="F1108" i="16"/>
  <c r="K1108" i="16" s="1"/>
  <c r="F1107" i="16"/>
  <c r="K1107" i="16" s="1"/>
  <c r="F1106" i="16"/>
  <c r="K1106" i="16" s="1"/>
  <c r="F1105" i="16"/>
  <c r="K1105" i="16" s="1"/>
  <c r="F1104" i="16"/>
  <c r="K1104" i="16" s="1"/>
  <c r="F1103" i="16"/>
  <c r="K1103" i="16" s="1"/>
  <c r="F1102" i="16"/>
  <c r="K1102" i="16" s="1"/>
  <c r="F1101" i="16"/>
  <c r="K1101" i="16" s="1"/>
  <c r="F1100" i="16"/>
  <c r="K1100" i="16" s="1"/>
  <c r="F1099" i="16"/>
  <c r="K1099" i="16" s="1"/>
  <c r="F1098" i="16"/>
  <c r="K1098" i="16" s="1"/>
  <c r="F1097" i="16"/>
  <c r="K1097" i="16" s="1"/>
  <c r="F1096" i="16"/>
  <c r="K1096" i="16" s="1"/>
  <c r="F1095" i="16"/>
  <c r="K1095" i="16" s="1"/>
  <c r="F1094" i="16"/>
  <c r="K1094" i="16" s="1"/>
  <c r="F1093" i="16"/>
  <c r="K1093" i="16" s="1"/>
  <c r="F1092" i="16"/>
  <c r="K1092" i="16" s="1"/>
  <c r="F1040" i="16"/>
  <c r="K1040" i="16" s="1"/>
  <c r="F1041" i="16"/>
  <c r="K1041" i="16" s="1"/>
  <c r="F1042" i="16"/>
  <c r="K1042" i="16" s="1"/>
  <c r="F1043" i="16"/>
  <c r="K1043" i="16" s="1"/>
  <c r="F1044" i="16"/>
  <c r="K1044" i="16" s="1"/>
  <c r="F1045" i="16"/>
  <c r="K1045" i="16" s="1"/>
  <c r="F1046" i="16"/>
  <c r="K1046" i="16" s="1"/>
  <c r="F1047" i="16"/>
  <c r="K1047" i="16" s="1"/>
  <c r="F1048" i="16"/>
  <c r="K1048" i="16" s="1"/>
  <c r="F1049" i="16"/>
  <c r="K1049" i="16" s="1"/>
  <c r="F1050" i="16"/>
  <c r="K1050" i="16" s="1"/>
  <c r="F1051" i="16"/>
  <c r="K1051" i="16" s="1"/>
  <c r="F1052" i="16"/>
  <c r="K1052" i="16" s="1"/>
  <c r="F1053" i="16"/>
  <c r="K1053" i="16" s="1"/>
  <c r="F1054" i="16"/>
  <c r="K1054" i="16" s="1"/>
  <c r="F1055" i="16"/>
  <c r="K1055" i="16" s="1"/>
  <c r="F1056" i="16"/>
  <c r="K1056" i="16" s="1"/>
  <c r="F1057" i="16"/>
  <c r="K1057" i="16" s="1"/>
  <c r="F1058" i="16"/>
  <c r="K1058" i="16" s="1"/>
  <c r="F1059" i="16"/>
  <c r="K1059" i="16" s="1"/>
  <c r="F1060" i="16"/>
  <c r="K1060" i="16" s="1"/>
  <c r="F1061" i="16"/>
  <c r="K1061" i="16" s="1"/>
  <c r="F1062" i="16"/>
  <c r="K1062" i="16" s="1"/>
  <c r="F1063" i="16"/>
  <c r="K1063" i="16" s="1"/>
  <c r="F1064" i="16"/>
  <c r="K1064" i="16" s="1"/>
  <c r="F1065" i="16"/>
  <c r="K1065" i="16" s="1"/>
  <c r="F1066" i="16"/>
  <c r="K1066" i="16" s="1"/>
  <c r="F1067" i="16"/>
  <c r="K1067" i="16" s="1"/>
  <c r="F1068" i="16"/>
  <c r="K1068" i="16" s="1"/>
  <c r="F1069" i="16"/>
  <c r="K1069" i="16" s="1"/>
  <c r="F1070" i="16"/>
  <c r="K1070" i="16" s="1"/>
  <c r="F1071" i="16"/>
  <c r="K1071" i="16" s="1"/>
  <c r="F1072" i="16"/>
  <c r="K1072" i="16" s="1"/>
  <c r="F1073" i="16"/>
  <c r="K1073" i="16" s="1"/>
  <c r="F1074" i="16"/>
  <c r="K1074" i="16" s="1"/>
  <c r="F1075" i="16"/>
  <c r="K1075" i="16" s="1"/>
  <c r="F1076" i="16"/>
  <c r="K1076" i="16" s="1"/>
  <c r="F1077" i="16"/>
  <c r="K1077" i="16" s="1"/>
  <c r="F1078" i="16"/>
  <c r="K1078" i="16" s="1"/>
  <c r="F1079" i="16"/>
  <c r="K1079" i="16" s="1"/>
  <c r="F1080" i="16"/>
  <c r="K1080" i="16" s="1"/>
  <c r="F1081" i="16"/>
  <c r="K1081" i="16" s="1"/>
  <c r="F1082" i="16"/>
  <c r="K1082" i="16" s="1"/>
  <c r="F1083" i="16"/>
  <c r="K1083" i="16" s="1"/>
  <c r="F1084" i="16"/>
  <c r="K1084" i="16" s="1"/>
  <c r="F1085" i="16"/>
  <c r="K1085" i="16" s="1"/>
  <c r="F1086" i="16"/>
  <c r="K1086" i="16" s="1"/>
  <c r="F1087" i="16"/>
  <c r="K1087" i="16" s="1"/>
  <c r="F1088" i="16"/>
  <c r="K1088" i="16" s="1"/>
  <c r="F1089" i="16"/>
  <c r="K1089" i="16" s="1"/>
  <c r="F1039" i="16"/>
  <c r="K1039" i="16" s="1"/>
  <c r="F1115" i="16"/>
  <c r="K1115" i="16" s="1"/>
  <c r="F1114" i="16"/>
  <c r="K1114" i="16" s="1"/>
  <c r="F1113" i="16"/>
  <c r="K1113" i="16" s="1"/>
  <c r="F1112" i="16"/>
  <c r="K1112" i="16" s="1"/>
  <c r="F1111" i="16"/>
  <c r="K1111" i="16" s="1"/>
  <c r="F1119" i="16"/>
  <c r="K1119" i="16" s="1"/>
  <c r="F1130" i="16"/>
  <c r="K1130" i="16" s="1"/>
  <c r="F1129" i="16"/>
  <c r="K1129" i="16" s="1"/>
  <c r="F1128" i="16"/>
  <c r="K1128" i="16" s="1"/>
  <c r="F1127" i="16"/>
  <c r="K1127" i="16" s="1"/>
  <c r="F1126" i="16"/>
  <c r="K1126" i="16" s="1"/>
  <c r="F1125" i="16"/>
  <c r="K1125" i="16" s="1"/>
  <c r="F1124" i="16"/>
  <c r="K1124" i="16" s="1"/>
  <c r="F1123" i="16"/>
  <c r="K1123" i="16" s="1"/>
  <c r="F1122" i="16"/>
  <c r="K1122" i="16" s="1"/>
  <c r="F1134" i="16"/>
  <c r="K1134" i="16" s="1"/>
  <c r="F1135" i="16"/>
  <c r="K1135" i="16" s="1"/>
  <c r="F1137" i="16"/>
  <c r="K1137" i="16" s="1"/>
  <c r="F1138" i="16"/>
  <c r="K1138" i="16" s="1"/>
  <c r="F1139" i="16"/>
  <c r="K1139" i="16" s="1"/>
  <c r="F1140" i="16"/>
  <c r="K1140" i="16" s="1"/>
  <c r="F1141" i="16"/>
  <c r="K1141" i="16" s="1"/>
  <c r="F1142" i="16"/>
  <c r="K1142" i="16" s="1"/>
  <c r="F1133" i="16"/>
  <c r="K1133" i="16" s="1"/>
  <c r="F1159" i="16"/>
  <c r="K1159" i="16" s="1"/>
  <c r="F1158" i="16"/>
  <c r="K1158" i="16" s="1"/>
  <c r="F1146" i="16"/>
  <c r="K1146" i="16" s="1"/>
  <c r="F1147" i="16"/>
  <c r="K1147" i="16" s="1"/>
  <c r="F1148" i="16"/>
  <c r="K1148" i="16" s="1"/>
  <c r="F1149" i="16"/>
  <c r="K1149" i="16" s="1"/>
  <c r="F1150" i="16"/>
  <c r="K1150" i="16" s="1"/>
  <c r="F1151" i="16"/>
  <c r="K1151" i="16" s="1"/>
  <c r="F1152" i="16"/>
  <c r="K1152" i="16" s="1"/>
  <c r="F1153" i="16"/>
  <c r="K1153" i="16" s="1"/>
  <c r="F1154" i="16"/>
  <c r="K1154" i="16" s="1"/>
  <c r="F1145" i="16"/>
  <c r="K1145" i="16" s="1"/>
  <c r="F1173" i="16"/>
  <c r="K1173" i="16" s="1"/>
  <c r="F1172" i="16"/>
  <c r="K1172" i="16" s="1"/>
  <c r="F1171" i="16"/>
  <c r="K1171" i="16" s="1"/>
  <c r="F1170" i="16"/>
  <c r="K1170" i="16" s="1"/>
  <c r="F1169" i="16"/>
  <c r="K1169" i="16" s="1"/>
  <c r="F1168" i="16"/>
  <c r="K1168" i="16" s="1"/>
  <c r="F1167" i="16"/>
  <c r="K1167" i="16" s="1"/>
  <c r="F1166" i="16"/>
  <c r="K1166" i="16" s="1"/>
  <c r="F1165" i="16"/>
  <c r="K1165" i="16" s="1"/>
  <c r="F1164" i="16"/>
  <c r="K1164" i="16" s="1"/>
  <c r="F1163" i="16"/>
  <c r="K1163" i="16" s="1"/>
  <c r="F1162" i="16"/>
  <c r="K1162" i="16" s="1"/>
  <c r="F1177" i="16"/>
  <c r="K1177" i="16" s="1"/>
  <c r="F1176" i="16"/>
  <c r="K1176" i="16" s="1"/>
  <c r="F1207" i="16"/>
  <c r="K1207" i="16" s="1"/>
  <c r="L464" i="16" l="1"/>
  <c r="L277" i="16"/>
  <c r="L220" i="16"/>
  <c r="F160" i="16"/>
  <c r="K160" i="16" s="1"/>
  <c r="F152" i="16" l="1"/>
  <c r="K152" i="16" s="1"/>
  <c r="F218" i="16"/>
  <c r="K218" i="16" s="1"/>
  <c r="F175" i="16"/>
  <c r="K175" i="16" s="1"/>
  <c r="F176" i="16"/>
  <c r="K176" i="16" s="1"/>
  <c r="F177" i="16"/>
  <c r="K177" i="16" s="1"/>
  <c r="F178" i="16"/>
  <c r="K178" i="16" s="1"/>
  <c r="F179" i="16"/>
  <c r="K179" i="16" s="1"/>
  <c r="F180" i="16"/>
  <c r="K180" i="16" s="1"/>
  <c r="F181" i="16"/>
  <c r="K181" i="16" s="1"/>
  <c r="F182" i="16"/>
  <c r="K182" i="16" s="1"/>
  <c r="F183" i="16"/>
  <c r="K183" i="16" s="1"/>
  <c r="F184" i="16"/>
  <c r="K184" i="16" s="1"/>
  <c r="F185" i="16"/>
  <c r="K185" i="16" s="1"/>
  <c r="F186" i="16"/>
  <c r="K186" i="16" s="1"/>
  <c r="F187" i="16"/>
  <c r="K187" i="16" s="1"/>
  <c r="F188" i="16"/>
  <c r="K188" i="16" s="1"/>
  <c r="F189" i="16"/>
  <c r="K189" i="16" s="1"/>
  <c r="F190" i="16"/>
  <c r="K190" i="16" s="1"/>
  <c r="F191" i="16"/>
  <c r="K191" i="16" s="1"/>
  <c r="F192" i="16"/>
  <c r="K192" i="16" s="1"/>
  <c r="F193" i="16"/>
  <c r="K193" i="16" s="1"/>
  <c r="F194" i="16"/>
  <c r="K194" i="16" s="1"/>
  <c r="F195" i="16"/>
  <c r="K195" i="16" s="1"/>
  <c r="F196" i="16"/>
  <c r="K196" i="16" s="1"/>
  <c r="F197" i="16"/>
  <c r="K197" i="16" s="1"/>
  <c r="F198" i="16"/>
  <c r="K198" i="16" s="1"/>
  <c r="F199" i="16"/>
  <c r="K199" i="16" s="1"/>
  <c r="F200" i="16"/>
  <c r="K200" i="16" s="1"/>
  <c r="F201" i="16"/>
  <c r="K201" i="16" s="1"/>
  <c r="F202" i="16"/>
  <c r="K202" i="16" s="1"/>
  <c r="F203" i="16"/>
  <c r="K203" i="16" s="1"/>
  <c r="F204" i="16"/>
  <c r="K204" i="16" s="1"/>
  <c r="F205" i="16"/>
  <c r="K205" i="16" s="1"/>
  <c r="F206" i="16"/>
  <c r="K206" i="16" s="1"/>
  <c r="F207" i="16"/>
  <c r="K207" i="16" s="1"/>
  <c r="F208" i="16"/>
  <c r="K208" i="16" s="1"/>
  <c r="F209" i="16"/>
  <c r="K209" i="16" s="1"/>
  <c r="F210" i="16"/>
  <c r="K210" i="16" s="1"/>
  <c r="F211" i="16"/>
  <c r="K211" i="16" s="1"/>
  <c r="F212" i="16"/>
  <c r="K212" i="16" s="1"/>
  <c r="F213" i="16"/>
  <c r="K213" i="16" s="1"/>
  <c r="F214" i="16"/>
  <c r="K214" i="16" s="1"/>
  <c r="F215" i="16"/>
  <c r="K215" i="16" s="1"/>
  <c r="F216" i="16"/>
  <c r="K216" i="16" s="1"/>
  <c r="F217" i="16"/>
  <c r="K217" i="16" s="1"/>
  <c r="F174" i="16"/>
  <c r="K174" i="16" s="1"/>
  <c r="F146" i="16"/>
  <c r="K146" i="16" s="1"/>
  <c r="F145" i="16"/>
  <c r="K145" i="16" s="1"/>
  <c r="F144" i="16"/>
  <c r="K144" i="16" s="1"/>
  <c r="F143" i="16"/>
  <c r="K143" i="16" s="1"/>
  <c r="F142" i="16"/>
  <c r="K142" i="16" s="1"/>
  <c r="F140" i="16"/>
  <c r="K140" i="16" s="1"/>
  <c r="F139" i="16"/>
  <c r="K139" i="16" s="1"/>
  <c r="F138" i="16"/>
  <c r="K138" i="16" s="1"/>
  <c r="F137" i="16"/>
  <c r="K137" i="16" s="1"/>
  <c r="F136" i="16"/>
  <c r="K136" i="16" s="1"/>
  <c r="F135" i="16"/>
  <c r="K135" i="16" s="1"/>
  <c r="F132" i="16"/>
  <c r="K132" i="16" s="1"/>
  <c r="F131" i="16"/>
  <c r="K131" i="16" s="1"/>
  <c r="F130" i="16"/>
  <c r="K130" i="16" s="1"/>
  <c r="F129" i="16"/>
  <c r="K129" i="16" s="1"/>
  <c r="F126" i="16"/>
  <c r="K126" i="16" s="1"/>
  <c r="F125" i="16"/>
  <c r="K125" i="16" s="1"/>
  <c r="F120" i="16"/>
  <c r="K120" i="16" s="1"/>
  <c r="D151" i="16"/>
  <c r="F151" i="16" s="1"/>
  <c r="K151" i="16" s="1"/>
  <c r="D141" i="16"/>
  <c r="F141" i="16" s="1"/>
  <c r="K141" i="16" s="1"/>
  <c r="D118" i="16" l="1"/>
  <c r="F118" i="16" s="1"/>
  <c r="K118" i="16" s="1"/>
  <c r="D123" i="16"/>
  <c r="F123" i="16" s="1"/>
  <c r="K123" i="16" s="1"/>
  <c r="D122" i="16"/>
  <c r="F122" i="16" s="1"/>
  <c r="K122" i="16" s="1"/>
  <c r="D124" i="16"/>
  <c r="F124" i="16" s="1"/>
  <c r="K124" i="16" s="1"/>
  <c r="D117" i="16"/>
  <c r="F117" i="16" s="1"/>
  <c r="K117" i="16" s="1"/>
  <c r="D121" i="16"/>
  <c r="F121" i="16" s="1"/>
  <c r="K121" i="16" s="1"/>
  <c r="D119" i="16"/>
  <c r="F119" i="16" s="1"/>
  <c r="K119" i="16" s="1"/>
  <c r="F1216" i="16"/>
  <c r="K1216" i="16" s="1"/>
  <c r="F1215" i="16"/>
  <c r="K1215" i="16" s="1"/>
  <c r="F1212" i="16"/>
  <c r="K1212" i="16" s="1"/>
  <c r="F105" i="16"/>
  <c r="K105" i="16" s="1"/>
  <c r="F106" i="16"/>
  <c r="K106" i="16" s="1"/>
  <c r="F107" i="16"/>
  <c r="K107" i="16" s="1"/>
  <c r="F108" i="16"/>
  <c r="K108" i="16" s="1"/>
  <c r="F109" i="16"/>
  <c r="K109" i="16" s="1"/>
  <c r="F110" i="16"/>
  <c r="K110" i="16" s="1"/>
  <c r="F111" i="16"/>
  <c r="K111" i="16" s="1"/>
  <c r="F112" i="16"/>
  <c r="K112" i="16" s="1"/>
  <c r="F113" i="16"/>
  <c r="K113" i="16" s="1"/>
  <c r="F114" i="16"/>
  <c r="K114" i="16" s="1"/>
  <c r="F104" i="16"/>
  <c r="K104" i="16" s="1"/>
  <c r="F91" i="16"/>
  <c r="K91" i="16" s="1"/>
  <c r="F92" i="16"/>
  <c r="K92" i="16" s="1"/>
  <c r="F93" i="16"/>
  <c r="K93" i="16" s="1"/>
  <c r="F94" i="16"/>
  <c r="K94" i="16" s="1"/>
  <c r="F95" i="16"/>
  <c r="K95" i="16" s="1"/>
  <c r="F96" i="16"/>
  <c r="K96" i="16" s="1"/>
  <c r="F97" i="16"/>
  <c r="K97" i="16" s="1"/>
  <c r="F98" i="16"/>
  <c r="K98" i="16" s="1"/>
  <c r="F99" i="16"/>
  <c r="K99" i="16" s="1"/>
  <c r="F100" i="16"/>
  <c r="K100" i="16" s="1"/>
  <c r="F101" i="16"/>
  <c r="K101" i="16" s="1"/>
  <c r="F102" i="16"/>
  <c r="K102" i="16" s="1"/>
  <c r="F103" i="16"/>
  <c r="K103" i="16" s="1"/>
  <c r="F90" i="16"/>
  <c r="K90" i="16" s="1"/>
  <c r="F73" i="16"/>
  <c r="K73" i="16" s="1"/>
  <c r="F74" i="16"/>
  <c r="K74" i="16" s="1"/>
  <c r="F75" i="16"/>
  <c r="K75" i="16" s="1"/>
  <c r="F76" i="16"/>
  <c r="K76" i="16" s="1"/>
  <c r="F77" i="16"/>
  <c r="K77" i="16" s="1"/>
  <c r="F78" i="16"/>
  <c r="K78" i="16" s="1"/>
  <c r="F79" i="16"/>
  <c r="K79" i="16" s="1"/>
  <c r="F80" i="16"/>
  <c r="K80" i="16" s="1"/>
  <c r="F81" i="16"/>
  <c r="K81" i="16" s="1"/>
  <c r="F82" i="16"/>
  <c r="K82" i="16" s="1"/>
  <c r="F83" i="16"/>
  <c r="K83" i="16" s="1"/>
  <c r="F84" i="16"/>
  <c r="K84" i="16" s="1"/>
  <c r="F85" i="16"/>
  <c r="K85" i="16" s="1"/>
  <c r="F86" i="16"/>
  <c r="K86" i="16" s="1"/>
  <c r="F88" i="16"/>
  <c r="K88" i="16" s="1"/>
  <c r="F89" i="16"/>
  <c r="K89" i="16" s="1"/>
  <c r="D87" i="16"/>
  <c r="F87" i="16" s="1"/>
  <c r="K87" i="16" s="1"/>
  <c r="F72" i="16"/>
  <c r="K72" i="16" s="1"/>
  <c r="D38" i="16"/>
  <c r="F38" i="16" s="1"/>
  <c r="F48" i="16"/>
  <c r="K48" i="16" s="1"/>
  <c r="F52" i="16"/>
  <c r="K52" i="16" s="1"/>
  <c r="F53" i="16"/>
  <c r="K53" i="16" s="1"/>
  <c r="F54" i="16"/>
  <c r="K54" i="16" s="1"/>
  <c r="F55" i="16"/>
  <c r="K55" i="16" s="1"/>
  <c r="F56" i="16"/>
  <c r="K56" i="16" s="1"/>
  <c r="F57" i="16"/>
  <c r="K57" i="16" s="1"/>
  <c r="F58" i="16"/>
  <c r="K58" i="16" s="1"/>
  <c r="F59" i="16"/>
  <c r="K59" i="16" s="1"/>
  <c r="F60" i="16"/>
  <c r="K60" i="16" s="1"/>
  <c r="F61" i="16"/>
  <c r="K61" i="16" s="1"/>
  <c r="F62" i="16"/>
  <c r="K62" i="16" s="1"/>
  <c r="F63" i="16"/>
  <c r="K63" i="16" s="1"/>
  <c r="F64" i="16"/>
  <c r="K64" i="16" s="1"/>
  <c r="F65" i="16"/>
  <c r="K65" i="16" s="1"/>
  <c r="F66" i="16"/>
  <c r="K66" i="16" s="1"/>
  <c r="F67" i="16"/>
  <c r="K67" i="16" s="1"/>
  <c r="F51" i="16"/>
  <c r="K51" i="16" s="1"/>
  <c r="F47" i="16"/>
  <c r="K47" i="16" s="1"/>
  <c r="F46" i="16"/>
  <c r="K46" i="16" s="1"/>
  <c r="F45" i="16"/>
  <c r="K45" i="16" s="1"/>
  <c r="F43" i="16"/>
  <c r="K43" i="16" s="1"/>
  <c r="F42" i="16"/>
  <c r="K42" i="16" s="1"/>
  <c r="F41" i="16"/>
  <c r="F40" i="16"/>
  <c r="F39" i="16"/>
  <c r="F37" i="16"/>
  <c r="F36" i="16"/>
  <c r="F35" i="16"/>
  <c r="K35" i="16" s="1"/>
  <c r="F34" i="16"/>
  <c r="F33" i="16"/>
  <c r="F32" i="16"/>
  <c r="F31" i="16"/>
  <c r="D44" i="16"/>
  <c r="F44" i="16" s="1"/>
  <c r="K44" i="16" s="1"/>
  <c r="F647" i="16"/>
  <c r="K647" i="16" s="1"/>
  <c r="F646" i="16"/>
  <c r="K646" i="16" s="1"/>
  <c r="F641" i="16"/>
  <c r="K641" i="16" s="1"/>
  <c r="L638" i="16" s="1"/>
  <c r="D588" i="16"/>
  <c r="F588" i="16" s="1"/>
  <c r="K588" i="16" s="1"/>
  <c r="F636" i="16"/>
  <c r="K636" i="16" s="1"/>
  <c r="F634" i="16"/>
  <c r="K634" i="16" s="1"/>
  <c r="F633" i="16"/>
  <c r="K633" i="16" s="1"/>
  <c r="F630" i="16"/>
  <c r="K630" i="16" s="1"/>
  <c r="F629" i="16"/>
  <c r="K629" i="16" s="1"/>
  <c r="F628" i="16"/>
  <c r="K628" i="16" s="1"/>
  <c r="F626" i="16"/>
  <c r="K626" i="16" s="1"/>
  <c r="F453" i="16"/>
  <c r="K453" i="16" s="1"/>
  <c r="F452" i="16"/>
  <c r="K452" i="16" s="1"/>
  <c r="F451" i="16"/>
  <c r="K451" i="16" s="1"/>
  <c r="F450" i="16"/>
  <c r="K450" i="16" s="1"/>
  <c r="F449" i="16"/>
  <c r="K449" i="16" s="1"/>
  <c r="F446" i="16"/>
  <c r="K446" i="16" s="1"/>
  <c r="F445" i="16"/>
  <c r="K445" i="16" s="1"/>
  <c r="F444" i="16"/>
  <c r="K444" i="16" s="1"/>
  <c r="F443" i="16"/>
  <c r="K443" i="16" s="1"/>
  <c r="F442" i="16"/>
  <c r="K442" i="16" s="1"/>
  <c r="F439" i="16"/>
  <c r="K439" i="16" s="1"/>
  <c r="F438" i="16"/>
  <c r="K438" i="16" s="1"/>
  <c r="F437" i="16"/>
  <c r="K437" i="16" s="1"/>
  <c r="F436" i="16"/>
  <c r="K436" i="16" s="1"/>
  <c r="F435" i="16"/>
  <c r="K435" i="16" s="1"/>
  <c r="F434" i="16"/>
  <c r="K434" i="16" s="1"/>
  <c r="F427" i="16"/>
  <c r="K427" i="16" s="1"/>
  <c r="F428" i="16"/>
  <c r="K428" i="16" s="1"/>
  <c r="F429" i="16"/>
  <c r="K429" i="16" s="1"/>
  <c r="F430" i="16"/>
  <c r="K430" i="16" s="1"/>
  <c r="F431" i="16"/>
  <c r="K431" i="16" s="1"/>
  <c r="F426" i="16"/>
  <c r="K426" i="16" s="1"/>
  <c r="F421" i="16"/>
  <c r="K421" i="16" s="1"/>
  <c r="F420" i="16"/>
  <c r="K420" i="16" s="1"/>
  <c r="F419" i="16"/>
  <c r="K419" i="16" s="1"/>
  <c r="D635" i="16"/>
  <c r="F635" i="16" s="1"/>
  <c r="K635" i="16" s="1"/>
  <c r="D589" i="16"/>
  <c r="F589" i="16" s="1"/>
  <c r="K589" i="16" s="1"/>
  <c r="D573" i="16"/>
  <c r="F573" i="16" s="1"/>
  <c r="K573" i="16" s="1"/>
  <c r="F582" i="16"/>
  <c r="K582" i="16" s="1"/>
  <c r="D576" i="16"/>
  <c r="F576" i="16" s="1"/>
  <c r="K576" i="16" s="1"/>
  <c r="D575" i="16"/>
  <c r="F575" i="16" s="1"/>
  <c r="K575" i="16" s="1"/>
  <c r="F621" i="16"/>
  <c r="K621" i="16" s="1"/>
  <c r="F616" i="16"/>
  <c r="K616" i="16" s="1"/>
  <c r="F612" i="16"/>
  <c r="K612" i="16" s="1"/>
  <c r="F608" i="16"/>
  <c r="K608" i="16" s="1"/>
  <c r="F605" i="16"/>
  <c r="K605" i="16" s="1"/>
  <c r="F604" i="16"/>
  <c r="K604" i="16" s="1"/>
  <c r="F603" i="16"/>
  <c r="K603" i="16" s="1"/>
  <c r="F598" i="16"/>
  <c r="K598" i="16" s="1"/>
  <c r="F587" i="16"/>
  <c r="K587" i="16" s="1"/>
  <c r="F586" i="16"/>
  <c r="K586" i="16" s="1"/>
  <c r="F585" i="16"/>
  <c r="K585" i="16" s="1"/>
  <c r="F584" i="16"/>
  <c r="K584" i="16" s="1"/>
  <c r="F583" i="16"/>
  <c r="K583" i="16" s="1"/>
  <c r="F581" i="16"/>
  <c r="K581" i="16" s="1"/>
  <c r="F580" i="16"/>
  <c r="K580" i="16" s="1"/>
  <c r="F579" i="16"/>
  <c r="K579" i="16" s="1"/>
  <c r="F578" i="16"/>
  <c r="K578" i="16" s="1"/>
  <c r="F577" i="16"/>
  <c r="K577" i="16" s="1"/>
  <c r="F574" i="16"/>
  <c r="K574" i="16" s="1"/>
  <c r="F564" i="16"/>
  <c r="K564" i="16" s="1"/>
  <c r="F565" i="16"/>
  <c r="K565" i="16" s="1"/>
  <c r="F566" i="16"/>
  <c r="K566" i="16" s="1"/>
  <c r="F567" i="16"/>
  <c r="K567" i="16" s="1"/>
  <c r="F568" i="16"/>
  <c r="K568" i="16" s="1"/>
  <c r="F569" i="16"/>
  <c r="K569" i="16" s="1"/>
  <c r="F570" i="16"/>
  <c r="K570" i="16" s="1"/>
  <c r="F571" i="16"/>
  <c r="K571" i="16" s="1"/>
  <c r="F572" i="16"/>
  <c r="K572" i="16" s="1"/>
  <c r="F563" i="16"/>
  <c r="K563" i="16" s="1"/>
  <c r="F560" i="16"/>
  <c r="K560" i="16" s="1"/>
  <c r="F559" i="16"/>
  <c r="K559" i="16" s="1"/>
  <c r="F558" i="16"/>
  <c r="K558" i="16" s="1"/>
  <c r="D623" i="16"/>
  <c r="F623" i="16" s="1"/>
  <c r="K623" i="16" s="1"/>
  <c r="D622" i="16"/>
  <c r="F622" i="16" s="1"/>
  <c r="K622" i="16" s="1"/>
  <c r="D619" i="16"/>
  <c r="F619" i="16" s="1"/>
  <c r="K619" i="16" s="1"/>
  <c r="D615" i="16"/>
  <c r="F615" i="16" s="1"/>
  <c r="K615" i="16" s="1"/>
  <c r="D620" i="16"/>
  <c r="F620" i="16" s="1"/>
  <c r="K620" i="16" s="1"/>
  <c r="D618" i="16"/>
  <c r="F618" i="16" s="1"/>
  <c r="K618" i="16" s="1"/>
  <c r="D617" i="16"/>
  <c r="F617" i="16" s="1"/>
  <c r="K617" i="16" s="1"/>
  <c r="D594" i="16"/>
  <c r="F594" i="16" s="1"/>
  <c r="K594" i="16" s="1"/>
  <c r="D593" i="16"/>
  <c r="F593" i="16" s="1"/>
  <c r="K593" i="16" s="1"/>
  <c r="D592" i="16"/>
  <c r="F592" i="16" s="1"/>
  <c r="K592" i="16" s="1"/>
  <c r="D611" i="16"/>
  <c r="F611" i="16" s="1"/>
  <c r="K611" i="16" s="1"/>
  <c r="D610" i="16"/>
  <c r="F610" i="16" s="1"/>
  <c r="K610" i="16" s="1"/>
  <c r="D609" i="16"/>
  <c r="F609" i="16" s="1"/>
  <c r="K609" i="16" s="1"/>
  <c r="D627" i="16"/>
  <c r="F627" i="16" s="1"/>
  <c r="K627" i="16" s="1"/>
  <c r="D607" i="16"/>
  <c r="F607" i="16" s="1"/>
  <c r="K607" i="16" s="1"/>
  <c r="D606" i="16"/>
  <c r="F606" i="16" s="1"/>
  <c r="K606" i="16" s="1"/>
  <c r="D602" i="16"/>
  <c r="F602" i="16" s="1"/>
  <c r="K602" i="16" s="1"/>
  <c r="D595" i="16"/>
  <c r="F595" i="16" s="1"/>
  <c r="K595" i="16" s="1"/>
  <c r="D601" i="16"/>
  <c r="F601" i="16" s="1"/>
  <c r="K601" i="16" s="1"/>
  <c r="D600" i="16"/>
  <c r="F600" i="16" s="1"/>
  <c r="K600" i="16" s="1"/>
  <c r="D599" i="16"/>
  <c r="F599" i="16" s="1"/>
  <c r="K599" i="16" s="1"/>
  <c r="D457" i="16"/>
  <c r="F457" i="16" s="1"/>
  <c r="K457" i="16" s="1"/>
  <c r="D458" i="16"/>
  <c r="F458" i="16" s="1"/>
  <c r="K458" i="16" s="1"/>
  <c r="D459" i="16"/>
  <c r="F459" i="16" s="1"/>
  <c r="K459" i="16" s="1"/>
  <c r="D460" i="16"/>
  <c r="F460" i="16" s="1"/>
  <c r="K460" i="16" s="1"/>
  <c r="D461" i="16"/>
  <c r="F461" i="16" s="1"/>
  <c r="K461" i="16" s="1"/>
  <c r="D462" i="16"/>
  <c r="F462" i="16" s="1"/>
  <c r="K462" i="16" s="1"/>
  <c r="D456" i="16"/>
  <c r="F456" i="16" s="1"/>
  <c r="K456" i="16" s="1"/>
  <c r="F557" i="16"/>
  <c r="K557" i="16" s="1"/>
  <c r="F556" i="16"/>
  <c r="K556" i="16" s="1"/>
  <c r="F403" i="16"/>
  <c r="K403" i="16" s="1"/>
  <c r="F404" i="16"/>
  <c r="K404" i="16" s="1"/>
  <c r="F414" i="16"/>
  <c r="K414" i="16" s="1"/>
  <c r="F397" i="16"/>
  <c r="K397" i="16" s="1"/>
  <c r="F398" i="16"/>
  <c r="K398" i="16" s="1"/>
  <c r="F274" i="16"/>
  <c r="K274" i="16" s="1"/>
  <c r="F275" i="16"/>
  <c r="K275" i="16" s="1"/>
  <c r="F406" i="16"/>
  <c r="K406" i="16" s="1"/>
  <c r="F402" i="16"/>
  <c r="K402" i="16" s="1"/>
  <c r="F407" i="16"/>
  <c r="K407" i="16" s="1"/>
  <c r="F401" i="16"/>
  <c r="K401" i="16" s="1"/>
  <c r="F405" i="16"/>
  <c r="K405" i="16" s="1"/>
  <c r="D413" i="16"/>
  <c r="F413" i="16" s="1"/>
  <c r="K413" i="16" s="1"/>
  <c r="F411" i="16"/>
  <c r="K411" i="16" s="1"/>
  <c r="F410" i="16"/>
  <c r="K410" i="16" s="1"/>
  <c r="F409" i="16"/>
  <c r="K409" i="16" s="1"/>
  <c r="F408" i="16"/>
  <c r="K408" i="16" s="1"/>
  <c r="F400" i="16"/>
  <c r="K400" i="16" s="1"/>
  <c r="D555" i="16"/>
  <c r="F555" i="16" s="1"/>
  <c r="K555" i="16" s="1"/>
  <c r="F412" i="16"/>
  <c r="K412" i="16" s="1"/>
  <c r="D399" i="16"/>
  <c r="F399" i="16" s="1"/>
  <c r="K399" i="16" s="1"/>
  <c r="F554" i="16"/>
  <c r="K554" i="16" s="1"/>
  <c r="D553" i="16"/>
  <c r="F553" i="16" s="1"/>
  <c r="K553" i="16" s="1"/>
  <c r="L550" i="16" l="1"/>
  <c r="K31" i="16"/>
  <c r="K32" i="16"/>
  <c r="L416" i="16"/>
  <c r="L271" i="16"/>
  <c r="K33" i="16"/>
  <c r="K34" i="16"/>
  <c r="K40" i="16"/>
  <c r="K37" i="16"/>
  <c r="K39" i="16"/>
  <c r="L643" i="16"/>
  <c r="K36" i="16"/>
  <c r="K41" i="16"/>
  <c r="K38" i="16"/>
  <c r="L1209" i="16"/>
  <c r="L394" i="16"/>
  <c r="L423" i="16"/>
  <c r="D1157" i="16"/>
  <c r="F1157" i="16" s="1"/>
  <c r="K1157" i="16" s="1"/>
  <c r="D1136" i="16"/>
  <c r="F1136" i="16" s="1"/>
  <c r="K1136" i="16" s="1"/>
  <c r="D1117" i="16"/>
  <c r="F1117" i="16" s="1"/>
  <c r="K1117" i="16" s="1"/>
  <c r="F1183" i="16"/>
  <c r="K1183" i="16" s="1"/>
  <c r="F1184" i="16"/>
  <c r="K1184" i="16" s="1"/>
  <c r="F1185" i="16"/>
  <c r="K1185" i="16" s="1"/>
  <c r="F1186" i="16"/>
  <c r="K1186" i="16" s="1"/>
  <c r="F1187" i="16"/>
  <c r="K1187" i="16" s="1"/>
  <c r="F1188" i="16"/>
  <c r="K1188" i="16" s="1"/>
  <c r="F1189" i="16"/>
  <c r="K1189" i="16" s="1"/>
  <c r="F1190" i="16"/>
  <c r="K1190" i="16" s="1"/>
  <c r="F1191" i="16"/>
  <c r="K1191" i="16" s="1"/>
  <c r="F1192" i="16"/>
  <c r="K1192" i="16" s="1"/>
  <c r="F1193" i="16"/>
  <c r="K1193" i="16" s="1"/>
  <c r="F1194" i="16"/>
  <c r="K1194" i="16" s="1"/>
  <c r="F1195" i="16"/>
  <c r="K1195" i="16" s="1"/>
  <c r="F1196" i="16"/>
  <c r="K1196" i="16" s="1"/>
  <c r="F1197" i="16"/>
  <c r="K1197" i="16" s="1"/>
  <c r="F1198" i="16"/>
  <c r="K1198" i="16" s="1"/>
  <c r="F1199" i="16"/>
  <c r="K1199" i="16" s="1"/>
  <c r="F1200" i="16"/>
  <c r="K1200" i="16" s="1"/>
  <c r="F1201" i="16"/>
  <c r="K1201" i="16" s="1"/>
  <c r="F1202" i="16"/>
  <c r="K1202" i="16" s="1"/>
  <c r="F1203" i="16"/>
  <c r="K1203" i="16" s="1"/>
  <c r="F1204" i="16"/>
  <c r="K1204" i="16" s="1"/>
  <c r="F1205" i="16"/>
  <c r="K1205" i="16" s="1"/>
  <c r="F1182" i="16"/>
  <c r="K1182" i="16" s="1"/>
  <c r="L1036" i="16" l="1"/>
  <c r="L28" i="16"/>
  <c r="F737" i="16"/>
  <c r="K737" i="16" s="1"/>
  <c r="F735" i="16"/>
  <c r="K735" i="16" s="1"/>
  <c r="F734" i="16"/>
  <c r="K734" i="16" s="1"/>
  <c r="F1034" i="16" l="1"/>
  <c r="K1034" i="16" s="1"/>
  <c r="F1033" i="16"/>
  <c r="K1033" i="16" s="1"/>
  <c r="F1032" i="16"/>
  <c r="K1032" i="16" s="1"/>
  <c r="F1031" i="16"/>
  <c r="K1031" i="16" s="1"/>
  <c r="F1030" i="16"/>
  <c r="K1030" i="16" s="1"/>
  <c r="F1029" i="16"/>
  <c r="K1029" i="16" s="1"/>
  <c r="F1028" i="16"/>
  <c r="K1028" i="16" s="1"/>
  <c r="F1027" i="16"/>
  <c r="K1027" i="16" s="1"/>
  <c r="F1026" i="16"/>
  <c r="K1026" i="16" s="1"/>
  <c r="F1025" i="16"/>
  <c r="K1025" i="16" s="1"/>
  <c r="F1022" i="16"/>
  <c r="K1022" i="16" s="1"/>
  <c r="F1019" i="16"/>
  <c r="K1019" i="16" s="1"/>
  <c r="F1018" i="16"/>
  <c r="K1018" i="16" s="1"/>
  <c r="F1017" i="16"/>
  <c r="K1017" i="16" s="1"/>
  <c r="F1014" i="16"/>
  <c r="K1014" i="16" s="1"/>
  <c r="F1013" i="16"/>
  <c r="K1013" i="16" s="1"/>
  <c r="F1012" i="16"/>
  <c r="K1012" i="16" s="1"/>
  <c r="F1009" i="16"/>
  <c r="K1009" i="16" s="1"/>
  <c r="F1008" i="16"/>
  <c r="K1008" i="16" s="1"/>
  <c r="F1007" i="16"/>
  <c r="K1007" i="16" s="1"/>
  <c r="F1006" i="16"/>
  <c r="K1006" i="16" s="1"/>
  <c r="F1005" i="16"/>
  <c r="K1005" i="16" s="1"/>
  <c r="F1004" i="16"/>
  <c r="K1004" i="16" s="1"/>
  <c r="F1001" i="16"/>
  <c r="K1001" i="16" s="1"/>
  <c r="F1000" i="16"/>
  <c r="K1000" i="16" s="1"/>
  <c r="F999" i="16"/>
  <c r="K999" i="16" s="1"/>
  <c r="F998" i="16"/>
  <c r="K998" i="16" s="1"/>
  <c r="F997" i="16"/>
  <c r="K997" i="16" s="1"/>
  <c r="F994" i="16"/>
  <c r="K994" i="16" s="1"/>
  <c r="F991" i="16"/>
  <c r="K991" i="16" s="1"/>
  <c r="F990" i="16"/>
  <c r="K990" i="16" s="1"/>
  <c r="F989" i="16"/>
  <c r="K989" i="16" s="1"/>
  <c r="F988" i="16"/>
  <c r="K988" i="16" s="1"/>
  <c r="F987" i="16"/>
  <c r="K987" i="16" s="1"/>
  <c r="F984" i="16"/>
  <c r="K984" i="16" s="1"/>
  <c r="F981" i="16"/>
  <c r="K981" i="16" s="1"/>
  <c r="F978" i="16"/>
  <c r="K978" i="16" s="1"/>
  <c r="F975" i="16"/>
  <c r="K975" i="16" s="1"/>
  <c r="F972" i="16"/>
  <c r="K972" i="16" s="1"/>
  <c r="F969" i="16"/>
  <c r="K969" i="16" s="1"/>
  <c r="F968" i="16"/>
  <c r="K968" i="16" s="1"/>
  <c r="F967" i="16"/>
  <c r="K967" i="16" s="1"/>
  <c r="F966" i="16"/>
  <c r="K966" i="16" s="1"/>
  <c r="F965" i="16"/>
  <c r="K965" i="16" s="1"/>
  <c r="F964" i="16"/>
  <c r="K964" i="16" s="1"/>
  <c r="F963" i="16"/>
  <c r="K963" i="16" s="1"/>
  <c r="F960" i="16"/>
  <c r="K960" i="16" s="1"/>
  <c r="F959" i="16"/>
  <c r="K959" i="16" s="1"/>
  <c r="F958" i="16"/>
  <c r="K958" i="16" s="1"/>
  <c r="F955" i="16"/>
  <c r="K955" i="16" s="1"/>
  <c r="F954" i="16"/>
  <c r="K954" i="16" s="1"/>
  <c r="F953" i="16"/>
  <c r="K953" i="16" s="1"/>
  <c r="F952" i="16"/>
  <c r="K952" i="16" s="1"/>
  <c r="F951" i="16"/>
  <c r="K951" i="16" s="1"/>
  <c r="F948" i="16"/>
  <c r="K948" i="16" s="1"/>
  <c r="F945" i="16"/>
  <c r="K945" i="16" s="1"/>
  <c r="F944" i="16"/>
  <c r="K944" i="16" s="1"/>
  <c r="F943" i="16"/>
  <c r="K943" i="16" s="1"/>
  <c r="F942" i="16"/>
  <c r="K942" i="16" s="1"/>
  <c r="F939" i="16"/>
  <c r="K939" i="16" s="1"/>
  <c r="F840" i="16"/>
  <c r="K840" i="16" s="1"/>
  <c r="F841" i="16"/>
  <c r="K841" i="16" s="1"/>
  <c r="F842" i="16"/>
  <c r="K842" i="16" s="1"/>
  <c r="F843" i="16"/>
  <c r="K843" i="16" s="1"/>
  <c r="F844" i="16"/>
  <c r="K844" i="16" s="1"/>
  <c r="F845" i="16"/>
  <c r="K845" i="16" s="1"/>
  <c r="F846" i="16"/>
  <c r="K846" i="16" s="1"/>
  <c r="F847" i="16"/>
  <c r="K847" i="16" s="1"/>
  <c r="F848" i="16"/>
  <c r="K848" i="16" s="1"/>
  <c r="F849" i="16"/>
  <c r="K849" i="16" s="1"/>
  <c r="F850" i="16"/>
  <c r="K850" i="16" s="1"/>
  <c r="F851" i="16"/>
  <c r="K851" i="16" s="1"/>
  <c r="F852" i="16"/>
  <c r="K852" i="16" s="1"/>
  <c r="F853" i="16"/>
  <c r="K853" i="16" s="1"/>
  <c r="F854" i="16"/>
  <c r="K854" i="16" s="1"/>
  <c r="F855" i="16"/>
  <c r="K855" i="16" s="1"/>
  <c r="F856" i="16"/>
  <c r="K856" i="16" s="1"/>
  <c r="F857" i="16"/>
  <c r="K857" i="16" s="1"/>
  <c r="F858" i="16"/>
  <c r="K858" i="16" s="1"/>
  <c r="F859" i="16"/>
  <c r="K859" i="16" s="1"/>
  <c r="F860" i="16"/>
  <c r="K860" i="16" s="1"/>
  <c r="F861" i="16"/>
  <c r="K861" i="16" s="1"/>
  <c r="F862" i="16"/>
  <c r="K862" i="16" s="1"/>
  <c r="F863" i="16"/>
  <c r="K863" i="16" s="1"/>
  <c r="F864" i="16"/>
  <c r="K864" i="16" s="1"/>
  <c r="F865" i="16"/>
  <c r="K865" i="16" s="1"/>
  <c r="F866" i="16"/>
  <c r="K866" i="16" s="1"/>
  <c r="F867" i="16"/>
  <c r="K867" i="16" s="1"/>
  <c r="F868" i="16"/>
  <c r="K868" i="16" s="1"/>
  <c r="F869" i="16"/>
  <c r="K869" i="16" s="1"/>
  <c r="F870" i="16"/>
  <c r="K870" i="16" s="1"/>
  <c r="F871" i="16"/>
  <c r="K871" i="16" s="1"/>
  <c r="F872" i="16"/>
  <c r="K872" i="16" s="1"/>
  <c r="F873" i="16"/>
  <c r="K873" i="16" s="1"/>
  <c r="F874" i="16"/>
  <c r="K874" i="16" s="1"/>
  <c r="F875" i="16"/>
  <c r="K875" i="16" s="1"/>
  <c r="F876" i="16"/>
  <c r="K876" i="16" s="1"/>
  <c r="F877" i="16"/>
  <c r="K877" i="16" s="1"/>
  <c r="F878" i="16"/>
  <c r="K878" i="16" s="1"/>
  <c r="F879" i="16"/>
  <c r="K879" i="16" s="1"/>
  <c r="F880" i="16"/>
  <c r="K880" i="16" s="1"/>
  <c r="F881" i="16"/>
  <c r="K881" i="16" s="1"/>
  <c r="F882" i="16"/>
  <c r="K882" i="16" s="1"/>
  <c r="F883" i="16"/>
  <c r="K883" i="16" s="1"/>
  <c r="F884" i="16"/>
  <c r="K884" i="16" s="1"/>
  <c r="F885" i="16"/>
  <c r="K885" i="16" s="1"/>
  <c r="F886" i="16"/>
  <c r="K886" i="16" s="1"/>
  <c r="F887" i="16"/>
  <c r="K887" i="16" s="1"/>
  <c r="F888" i="16"/>
  <c r="K888" i="16" s="1"/>
  <c r="F889" i="16"/>
  <c r="K889" i="16" s="1"/>
  <c r="F890" i="16"/>
  <c r="K890" i="16" s="1"/>
  <c r="F891" i="16"/>
  <c r="K891" i="16" s="1"/>
  <c r="F892" i="16"/>
  <c r="K892" i="16" s="1"/>
  <c r="F893" i="16"/>
  <c r="K893" i="16" s="1"/>
  <c r="F894" i="16"/>
  <c r="K894" i="16" s="1"/>
  <c r="F895" i="16"/>
  <c r="K895" i="16" s="1"/>
  <c r="F896" i="16"/>
  <c r="K896" i="16" s="1"/>
  <c r="F897" i="16"/>
  <c r="K897" i="16" s="1"/>
  <c r="F898" i="16"/>
  <c r="K898" i="16" s="1"/>
  <c r="F899" i="16"/>
  <c r="K899" i="16" s="1"/>
  <c r="F900" i="16"/>
  <c r="K900" i="16" s="1"/>
  <c r="F901" i="16"/>
  <c r="K901" i="16" s="1"/>
  <c r="F902" i="16"/>
  <c r="K902" i="16" s="1"/>
  <c r="F903" i="16"/>
  <c r="K903" i="16" s="1"/>
  <c r="F904" i="16"/>
  <c r="K904" i="16" s="1"/>
  <c r="F905" i="16"/>
  <c r="K905" i="16" s="1"/>
  <c r="F906" i="16"/>
  <c r="K906" i="16" s="1"/>
  <c r="F907" i="16"/>
  <c r="K907" i="16" s="1"/>
  <c r="F908" i="16"/>
  <c r="K908" i="16" s="1"/>
  <c r="F909" i="16"/>
  <c r="K909" i="16" s="1"/>
  <c r="F910" i="16"/>
  <c r="K910" i="16" s="1"/>
  <c r="F911" i="16"/>
  <c r="K911" i="16" s="1"/>
  <c r="F912" i="16"/>
  <c r="K912" i="16" s="1"/>
  <c r="F913" i="16"/>
  <c r="K913" i="16" s="1"/>
  <c r="F914" i="16"/>
  <c r="K914" i="16" s="1"/>
  <c r="F915" i="16"/>
  <c r="K915" i="16" s="1"/>
  <c r="F916" i="16"/>
  <c r="K916" i="16" s="1"/>
  <c r="F917" i="16"/>
  <c r="K917" i="16" s="1"/>
  <c r="F918" i="16"/>
  <c r="K918" i="16" s="1"/>
  <c r="F919" i="16"/>
  <c r="K919" i="16" s="1"/>
  <c r="F920" i="16"/>
  <c r="K920" i="16" s="1"/>
  <c r="F921" i="16"/>
  <c r="K921" i="16" s="1"/>
  <c r="F922" i="16"/>
  <c r="K922" i="16" s="1"/>
  <c r="F923" i="16"/>
  <c r="K923" i="16" s="1"/>
  <c r="F924" i="16"/>
  <c r="K924" i="16" s="1"/>
  <c r="F925" i="16"/>
  <c r="K925" i="16" s="1"/>
  <c r="F926" i="16"/>
  <c r="K926" i="16" s="1"/>
  <c r="F927" i="16"/>
  <c r="K927" i="16" s="1"/>
  <c r="F928" i="16"/>
  <c r="K928" i="16" s="1"/>
  <c r="F929" i="16"/>
  <c r="K929" i="16" s="1"/>
  <c r="F930" i="16"/>
  <c r="K930" i="16" s="1"/>
  <c r="F931" i="16"/>
  <c r="K931" i="16" s="1"/>
  <c r="F932" i="16"/>
  <c r="K932" i="16" s="1"/>
  <c r="F933" i="16"/>
  <c r="K933" i="16" s="1"/>
  <c r="F934" i="16"/>
  <c r="K934" i="16" s="1"/>
  <c r="F935" i="16"/>
  <c r="K935" i="16" s="1"/>
  <c r="F936" i="16"/>
  <c r="K936" i="16" s="1"/>
  <c r="F937" i="16"/>
  <c r="K937" i="16" s="1"/>
  <c r="F839" i="16"/>
  <c r="K839" i="16" s="1"/>
  <c r="F743" i="16"/>
  <c r="K743" i="16" s="1"/>
  <c r="F744" i="16"/>
  <c r="K744" i="16" s="1"/>
  <c r="F745" i="16"/>
  <c r="K745" i="16" s="1"/>
  <c r="F746" i="16"/>
  <c r="K746" i="16" s="1"/>
  <c r="F747" i="16"/>
  <c r="K747" i="16" s="1"/>
  <c r="F748" i="16"/>
  <c r="K748" i="16" s="1"/>
  <c r="F749" i="16"/>
  <c r="K749" i="16" s="1"/>
  <c r="F750" i="16"/>
  <c r="K750" i="16" s="1"/>
  <c r="F751" i="16"/>
  <c r="K751" i="16" s="1"/>
  <c r="F752" i="16"/>
  <c r="K752" i="16" s="1"/>
  <c r="F753" i="16"/>
  <c r="K753" i="16" s="1"/>
  <c r="F754" i="16"/>
  <c r="K754" i="16" s="1"/>
  <c r="F755" i="16"/>
  <c r="K755" i="16" s="1"/>
  <c r="F756" i="16"/>
  <c r="K756" i="16" s="1"/>
  <c r="F757" i="16"/>
  <c r="K757" i="16" s="1"/>
  <c r="F758" i="16"/>
  <c r="K758" i="16" s="1"/>
  <c r="F759" i="16"/>
  <c r="K759" i="16" s="1"/>
  <c r="F760" i="16"/>
  <c r="K760" i="16" s="1"/>
  <c r="F761" i="16"/>
  <c r="K761" i="16" s="1"/>
  <c r="F762" i="16"/>
  <c r="K762" i="16" s="1"/>
  <c r="F763" i="16"/>
  <c r="K763" i="16" s="1"/>
  <c r="F764" i="16"/>
  <c r="K764" i="16" s="1"/>
  <c r="F765" i="16"/>
  <c r="K765" i="16" s="1"/>
  <c r="F766" i="16"/>
  <c r="K766" i="16" s="1"/>
  <c r="F767" i="16"/>
  <c r="K767" i="16" s="1"/>
  <c r="F768" i="16"/>
  <c r="K768" i="16" s="1"/>
  <c r="F769" i="16"/>
  <c r="K769" i="16" s="1"/>
  <c r="F770" i="16"/>
  <c r="K770" i="16" s="1"/>
  <c r="F771" i="16"/>
  <c r="K771" i="16" s="1"/>
  <c r="F772" i="16"/>
  <c r="K772" i="16" s="1"/>
  <c r="F773" i="16"/>
  <c r="K773" i="16" s="1"/>
  <c r="F774" i="16"/>
  <c r="K774" i="16" s="1"/>
  <c r="F775" i="16"/>
  <c r="K775" i="16" s="1"/>
  <c r="F776" i="16"/>
  <c r="K776" i="16" s="1"/>
  <c r="F777" i="16"/>
  <c r="K777" i="16" s="1"/>
  <c r="F778" i="16"/>
  <c r="K778" i="16" s="1"/>
  <c r="F779" i="16"/>
  <c r="K779" i="16" s="1"/>
  <c r="F780" i="16"/>
  <c r="K780" i="16" s="1"/>
  <c r="F781" i="16"/>
  <c r="K781" i="16" s="1"/>
  <c r="F782" i="16"/>
  <c r="K782" i="16" s="1"/>
  <c r="F783" i="16"/>
  <c r="K783" i="16" s="1"/>
  <c r="F784" i="16"/>
  <c r="K784" i="16" s="1"/>
  <c r="F785" i="16"/>
  <c r="K785" i="16" s="1"/>
  <c r="F786" i="16"/>
  <c r="K786" i="16" s="1"/>
  <c r="F787" i="16"/>
  <c r="K787" i="16" s="1"/>
  <c r="F788" i="16"/>
  <c r="K788" i="16" s="1"/>
  <c r="F789" i="16"/>
  <c r="K789" i="16" s="1"/>
  <c r="F790" i="16"/>
  <c r="K790" i="16" s="1"/>
  <c r="F791" i="16"/>
  <c r="K791" i="16" s="1"/>
  <c r="F792" i="16"/>
  <c r="K792" i="16" s="1"/>
  <c r="F793" i="16"/>
  <c r="K793" i="16" s="1"/>
  <c r="F794" i="16"/>
  <c r="K794" i="16" s="1"/>
  <c r="F795" i="16"/>
  <c r="K795" i="16" s="1"/>
  <c r="F796" i="16"/>
  <c r="K796" i="16" s="1"/>
  <c r="F797" i="16"/>
  <c r="K797" i="16" s="1"/>
  <c r="F798" i="16"/>
  <c r="K798" i="16" s="1"/>
  <c r="F799" i="16"/>
  <c r="K799" i="16" s="1"/>
  <c r="F800" i="16"/>
  <c r="K800" i="16" s="1"/>
  <c r="F801" i="16"/>
  <c r="K801" i="16" s="1"/>
  <c r="F802" i="16"/>
  <c r="K802" i="16" s="1"/>
  <c r="F803" i="16"/>
  <c r="K803" i="16" s="1"/>
  <c r="F804" i="16"/>
  <c r="K804" i="16" s="1"/>
  <c r="F805" i="16"/>
  <c r="K805" i="16" s="1"/>
  <c r="F806" i="16"/>
  <c r="K806" i="16" s="1"/>
  <c r="F807" i="16"/>
  <c r="K807" i="16" s="1"/>
  <c r="F808" i="16"/>
  <c r="K808" i="16" s="1"/>
  <c r="F809" i="16"/>
  <c r="K809" i="16" s="1"/>
  <c r="F811" i="16"/>
  <c r="K811" i="16" s="1"/>
  <c r="F812" i="16"/>
  <c r="K812" i="16" s="1"/>
  <c r="F813" i="16"/>
  <c r="K813" i="16" s="1"/>
  <c r="F814" i="16"/>
  <c r="K814" i="16" s="1"/>
  <c r="F815" i="16"/>
  <c r="K815" i="16" s="1"/>
  <c r="F816" i="16"/>
  <c r="K816" i="16" s="1"/>
  <c r="F817" i="16"/>
  <c r="K817" i="16" s="1"/>
  <c r="F818" i="16"/>
  <c r="K818" i="16" s="1"/>
  <c r="F819" i="16"/>
  <c r="K819" i="16" s="1"/>
  <c r="F820" i="16"/>
  <c r="K820" i="16" s="1"/>
  <c r="F821" i="16"/>
  <c r="K821" i="16" s="1"/>
  <c r="F822" i="16"/>
  <c r="K822" i="16" s="1"/>
  <c r="F824" i="16"/>
  <c r="K824" i="16" s="1"/>
  <c r="F825" i="16"/>
  <c r="K825" i="16" s="1"/>
  <c r="F826" i="16"/>
  <c r="K826" i="16" s="1"/>
  <c r="F827" i="16"/>
  <c r="K827" i="16" s="1"/>
  <c r="F828" i="16"/>
  <c r="K828" i="16" s="1"/>
  <c r="F829" i="16"/>
  <c r="K829" i="16" s="1"/>
  <c r="F830" i="16"/>
  <c r="K830" i="16" s="1"/>
  <c r="F831" i="16"/>
  <c r="K831" i="16" s="1"/>
  <c r="F832" i="16"/>
  <c r="K832" i="16" s="1"/>
  <c r="F833" i="16"/>
  <c r="K833" i="16" s="1"/>
  <c r="F742" i="16"/>
  <c r="K742" i="16" s="1"/>
  <c r="D836" i="16"/>
  <c r="F836" i="16" s="1"/>
  <c r="K836" i="16" s="1"/>
  <c r="D810" i="16"/>
  <c r="F810" i="16" s="1"/>
  <c r="K810" i="16" s="1"/>
  <c r="D823" i="16"/>
  <c r="F823" i="16" s="1"/>
  <c r="K823" i="16" s="1"/>
  <c r="D674" i="16"/>
  <c r="F674" i="16" s="1"/>
  <c r="K674" i="16" s="1"/>
  <c r="F722" i="16"/>
  <c r="K722" i="16" s="1"/>
  <c r="F723" i="16"/>
  <c r="K723" i="16" s="1"/>
  <c r="F724" i="16"/>
  <c r="K724" i="16" s="1"/>
  <c r="F725" i="16"/>
  <c r="K725" i="16" s="1"/>
  <c r="F726" i="16"/>
  <c r="K726" i="16" s="1"/>
  <c r="F727" i="16"/>
  <c r="K727" i="16" s="1"/>
  <c r="F728" i="16"/>
  <c r="K728" i="16" s="1"/>
  <c r="F729" i="16"/>
  <c r="K729" i="16" s="1"/>
  <c r="F721" i="16"/>
  <c r="K721" i="16" s="1"/>
  <c r="F701" i="16"/>
  <c r="K701" i="16" s="1"/>
  <c r="F702" i="16"/>
  <c r="K702" i="16" s="1"/>
  <c r="F703" i="16"/>
  <c r="K703" i="16" s="1"/>
  <c r="F704" i="16"/>
  <c r="K704" i="16" s="1"/>
  <c r="F705" i="16"/>
  <c r="K705" i="16" s="1"/>
  <c r="F706" i="16"/>
  <c r="K706" i="16" s="1"/>
  <c r="F707" i="16"/>
  <c r="K707" i="16" s="1"/>
  <c r="F708" i="16"/>
  <c r="K708" i="16" s="1"/>
  <c r="F709" i="16"/>
  <c r="K709" i="16" s="1"/>
  <c r="F710" i="16"/>
  <c r="K710" i="16" s="1"/>
  <c r="F711" i="16"/>
  <c r="K711" i="16" s="1"/>
  <c r="F713" i="16"/>
  <c r="K713" i="16" s="1"/>
  <c r="F714" i="16"/>
  <c r="K714" i="16" s="1"/>
  <c r="F715" i="16"/>
  <c r="K715" i="16" s="1"/>
  <c r="F716" i="16"/>
  <c r="K716" i="16" s="1"/>
  <c r="F718" i="16"/>
  <c r="K718" i="16" s="1"/>
  <c r="F700" i="16"/>
  <c r="K700" i="16" s="1"/>
  <c r="F653" i="16"/>
  <c r="K653" i="16" s="1"/>
  <c r="F654" i="16"/>
  <c r="K654" i="16" s="1"/>
  <c r="F655" i="16"/>
  <c r="K655" i="16" s="1"/>
  <c r="F656" i="16"/>
  <c r="K656" i="16" s="1"/>
  <c r="F657" i="16"/>
  <c r="K657" i="16" s="1"/>
  <c r="F658" i="16"/>
  <c r="K658" i="16" s="1"/>
  <c r="F659" i="16"/>
  <c r="K659" i="16" s="1"/>
  <c r="F660" i="16"/>
  <c r="K660" i="16" s="1"/>
  <c r="F661" i="16"/>
  <c r="K661" i="16" s="1"/>
  <c r="F662" i="16"/>
  <c r="K662" i="16" s="1"/>
  <c r="F663" i="16"/>
  <c r="K663" i="16" s="1"/>
  <c r="F664" i="16"/>
  <c r="K664" i="16" s="1"/>
  <c r="F665" i="16"/>
  <c r="K665" i="16" s="1"/>
  <c r="F666" i="16"/>
  <c r="K666" i="16" s="1"/>
  <c r="F667" i="16"/>
  <c r="K667" i="16" s="1"/>
  <c r="F668" i="16"/>
  <c r="K668" i="16" s="1"/>
  <c r="F669" i="16"/>
  <c r="K669" i="16" s="1"/>
  <c r="F670" i="16"/>
  <c r="K670" i="16" s="1"/>
  <c r="F671" i="16"/>
  <c r="K671" i="16" s="1"/>
  <c r="F672" i="16"/>
  <c r="K672" i="16" s="1"/>
  <c r="F673" i="16"/>
  <c r="K673" i="16" s="1"/>
  <c r="F675" i="16"/>
  <c r="K675" i="16" s="1"/>
  <c r="F676" i="16"/>
  <c r="K676" i="16" s="1"/>
  <c r="F677" i="16"/>
  <c r="K677" i="16" s="1"/>
  <c r="F678" i="16"/>
  <c r="K678" i="16" s="1"/>
  <c r="F679" i="16"/>
  <c r="K679" i="16" s="1"/>
  <c r="F680" i="16"/>
  <c r="K680" i="16" s="1"/>
  <c r="F681" i="16"/>
  <c r="K681" i="16" s="1"/>
  <c r="F682" i="16"/>
  <c r="K682" i="16" s="1"/>
  <c r="F683" i="16"/>
  <c r="K683" i="16" s="1"/>
  <c r="F684" i="16"/>
  <c r="K684" i="16" s="1"/>
  <c r="F685" i="16"/>
  <c r="K685" i="16" s="1"/>
  <c r="F686" i="16"/>
  <c r="K686" i="16" s="1"/>
  <c r="F687" i="16"/>
  <c r="K687" i="16" s="1"/>
  <c r="F688" i="16"/>
  <c r="K688" i="16" s="1"/>
  <c r="F689" i="16"/>
  <c r="K689" i="16" s="1"/>
  <c r="F690" i="16"/>
  <c r="K690" i="16" s="1"/>
  <c r="F691" i="16"/>
  <c r="K691" i="16" s="1"/>
  <c r="F692" i="16"/>
  <c r="K692" i="16" s="1"/>
  <c r="F693" i="16"/>
  <c r="K693" i="16" s="1"/>
  <c r="F694" i="16"/>
  <c r="K694" i="16" s="1"/>
  <c r="F695" i="16"/>
  <c r="K695" i="16" s="1"/>
  <c r="F696" i="16"/>
  <c r="K696" i="16" s="1"/>
  <c r="F697" i="16"/>
  <c r="K697" i="16" s="1"/>
  <c r="D712" i="16"/>
  <c r="F712" i="16" s="1"/>
  <c r="K712" i="16" s="1"/>
  <c r="D717" i="16"/>
  <c r="F717" i="16" s="1"/>
  <c r="K717" i="16" s="1"/>
  <c r="D652" i="16"/>
  <c r="F652" i="16" s="1"/>
  <c r="K652" i="16" s="1"/>
  <c r="L739" i="16" l="1"/>
  <c r="L649" i="16"/>
  <c r="F26" i="16" l="1"/>
  <c r="K26" i="16" s="1"/>
  <c r="A25" i="16"/>
  <c r="F24" i="16"/>
  <c r="K24" i="16" s="1"/>
  <c r="F23" i="16"/>
  <c r="K23" i="16" s="1"/>
  <c r="F22" i="16"/>
  <c r="F21" i="16"/>
  <c r="K21" i="16" s="1"/>
  <c r="F20" i="16"/>
  <c r="K20" i="16" s="1"/>
  <c r="A19" i="16"/>
  <c r="F18" i="16"/>
  <c r="K18" i="16" s="1"/>
  <c r="F17" i="16"/>
  <c r="K17" i="16" s="1"/>
  <c r="F16" i="16"/>
  <c r="F15" i="16"/>
  <c r="K15" i="16" s="1"/>
  <c r="F14" i="16"/>
  <c r="K14" i="16" s="1"/>
  <c r="F13" i="16"/>
  <c r="K13" i="16" s="1"/>
  <c r="F12" i="16"/>
  <c r="F11" i="16"/>
  <c r="K11" i="16" s="1"/>
  <c r="F10" i="16"/>
  <c r="K10" i="16" s="1"/>
  <c r="F9" i="16"/>
  <c r="K9" i="16" l="1"/>
  <c r="K12" i="16"/>
  <c r="K16" i="16"/>
  <c r="K22" i="16"/>
  <c r="L7" i="16" l="1"/>
  <c r="K1219" i="16"/>
  <c r="A7" i="16"/>
  <c r="A9" i="16" l="1"/>
  <c r="A10" i="16" l="1"/>
  <c r="A11" i="16" l="1"/>
  <c r="A12" i="16" l="1"/>
  <c r="A13" i="16" s="1"/>
  <c r="A14" i="16" l="1"/>
  <c r="A15" i="16" l="1"/>
  <c r="A16" i="16" s="1"/>
  <c r="K1220" i="16"/>
  <c r="K1221" i="16" s="1"/>
  <c r="A17" i="16" l="1"/>
  <c r="L1219" i="16"/>
  <c r="L1220" i="16" l="1"/>
  <c r="L1221" i="16" s="1"/>
  <c r="A18" i="16"/>
  <c r="A20" i="16" l="1"/>
  <c r="A21" i="16" l="1"/>
  <c r="A22" i="16" l="1"/>
  <c r="A23" i="16" l="1"/>
  <c r="A24" i="16" l="1"/>
  <c r="A26"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7" i="16" s="1"/>
  <c r="A118" i="16" s="1"/>
  <c r="A119" i="16" s="1"/>
  <c r="A120" i="16" s="1"/>
  <c r="A121" i="16" s="1"/>
  <c r="A122" i="16" s="1"/>
  <c r="A123" i="16" s="1"/>
  <c r="A124" i="16" s="1"/>
  <c r="A125" i="16" s="1"/>
  <c r="A126" i="16" s="1"/>
  <c r="A129" i="16" s="1"/>
  <c r="A130" i="16" s="1"/>
  <c r="A131" i="16" s="1"/>
  <c r="A132" i="16" s="1"/>
  <c r="A135" i="16" s="1"/>
  <c r="A136" i="16" s="1"/>
  <c r="A137" i="16" s="1"/>
  <c r="A138" i="16" s="1"/>
  <c r="A139" i="16" s="1"/>
  <c r="A140" i="16" s="1"/>
  <c r="A141" i="16" s="1"/>
  <c r="A142" i="16" s="1"/>
  <c r="A143" i="16" s="1"/>
  <c r="A144" i="16" s="1"/>
  <c r="A145" i="16" s="1"/>
  <c r="A146" i="16" s="1"/>
  <c r="A149" i="16" s="1"/>
  <c r="A150" i="16" s="1"/>
  <c r="A151" i="16" s="1"/>
  <c r="A152" i="16" s="1"/>
  <c r="A153" i="16" s="1"/>
  <c r="A154" i="16" s="1"/>
  <c r="A155" i="16" s="1"/>
  <c r="A156" i="16" s="1"/>
  <c r="A159" i="16" s="1"/>
  <c r="A160" i="16" s="1"/>
  <c r="A161" i="16" s="1"/>
  <c r="A162" i="16" s="1"/>
  <c r="A163" i="16" s="1"/>
  <c r="A164" i="16" s="1"/>
  <c r="A165" i="16" s="1"/>
  <c r="A166" i="16" s="1"/>
  <c r="A167" i="16" s="1"/>
  <c r="A168" i="16" s="1"/>
  <c r="A169" i="16" s="1"/>
  <c r="A170" i="16" s="1"/>
  <c r="A171" i="16" s="1"/>
  <c r="A174" i="16" s="1"/>
  <c r="A175" i="16" s="1"/>
  <c r="A176" i="16" s="1"/>
  <c r="A177" i="16" s="1"/>
  <c r="A178" i="16" s="1"/>
  <c r="A179" i="16" s="1"/>
  <c r="A180" i="16" s="1"/>
  <c r="A181" i="16" s="1"/>
  <c r="A182" i="16" s="1"/>
  <c r="A183" i="16" s="1"/>
  <c r="A184" i="16" s="1"/>
  <c r="A185" i="16" s="1"/>
  <c r="A186" i="16" s="1"/>
  <c r="A187" i="16" s="1"/>
  <c r="A188" i="16" s="1"/>
  <c r="A189" i="16" s="1"/>
  <c r="A190" i="16" s="1"/>
  <c r="A191" i="16" s="1"/>
  <c r="A192" i="16" s="1"/>
  <c r="A193" i="16" s="1"/>
  <c r="A194" i="16" s="1"/>
  <c r="A195" i="16" s="1"/>
  <c r="A196" i="16" s="1"/>
  <c r="A197" i="16" s="1"/>
  <c r="A198" i="16" s="1"/>
  <c r="A199" i="16" s="1"/>
  <c r="A200" i="16" s="1"/>
  <c r="A201" i="16" s="1"/>
  <c r="A202" i="16" s="1"/>
  <c r="A203" i="16" s="1"/>
  <c r="A204" i="16" s="1"/>
  <c r="A205" i="16" s="1"/>
  <c r="A206" i="16" s="1"/>
  <c r="A207" i="16" s="1"/>
  <c r="A208" i="16" s="1"/>
  <c r="A209" i="16" s="1"/>
  <c r="A210" i="16" s="1"/>
  <c r="A211" i="16" s="1"/>
  <c r="A212" i="16" s="1"/>
  <c r="A213" i="16" s="1"/>
  <c r="A214" i="16" s="1"/>
  <c r="A215" i="16" s="1"/>
  <c r="A216" i="16" s="1"/>
  <c r="A217" i="16" s="1"/>
  <c r="A218" i="16" s="1"/>
  <c r="A223" i="16" s="1"/>
  <c r="A224" i="16" s="1"/>
  <c r="A225" i="16" s="1"/>
  <c r="A226" i="16" s="1"/>
  <c r="A227" i="16" s="1"/>
  <c r="A228" i="16" s="1"/>
  <c r="A229" i="16" s="1"/>
  <c r="A230" i="16" s="1"/>
  <c r="A231" i="16" s="1"/>
  <c r="A232" i="16" s="1"/>
  <c r="A233" i="16" s="1"/>
  <c r="A234" i="16" s="1"/>
  <c r="A235" i="16" s="1"/>
  <c r="A236" i="16" s="1"/>
  <c r="A237" i="16" s="1"/>
  <c r="A238" i="16" s="1"/>
  <c r="A239" i="16" s="1"/>
  <c r="A240" i="16" s="1"/>
  <c r="A241" i="16" s="1"/>
  <c r="A242" i="16" s="1"/>
  <c r="A243" i="16" s="1"/>
  <c r="A244" i="16" s="1"/>
  <c r="A245" i="16" s="1"/>
  <c r="A246" i="16" s="1"/>
  <c r="A247" i="16" s="1"/>
  <c r="A250" i="16" s="1"/>
  <c r="A251" i="16" s="1"/>
  <c r="A252" i="16" s="1"/>
  <c r="A253" i="16" s="1"/>
  <c r="A254" i="16" s="1"/>
  <c r="A257" i="16" s="1"/>
  <c r="A258" i="16" s="1"/>
  <c r="A259" i="16" s="1"/>
  <c r="A263" i="16" s="1"/>
  <c r="A264" i="16" s="1"/>
  <c r="A265" i="16" s="1"/>
  <c r="A266" i="16" s="1"/>
  <c r="A269" i="16" s="1"/>
  <c r="A274" i="16" s="1"/>
  <c r="A275" i="16" s="1"/>
  <c r="A280" i="16" s="1"/>
  <c r="A281" i="16" s="1"/>
  <c r="A282" i="16" s="1"/>
  <c r="A283" i="16" s="1"/>
  <c r="A284" i="16" s="1"/>
  <c r="A285" i="16" s="1"/>
  <c r="A286" i="16" s="1"/>
  <c r="A287" i="16" s="1"/>
  <c r="A290" i="16" s="1"/>
  <c r="A291" i="16" s="1"/>
  <c r="A292" i="16" s="1"/>
  <c r="A293" i="16" s="1"/>
  <c r="A294" i="16" s="1"/>
  <c r="A295" i="16" s="1"/>
  <c r="A296" i="16" s="1"/>
  <c r="A297" i="16" s="1"/>
  <c r="A298" i="16" s="1"/>
  <c r="A299" i="16" s="1"/>
  <c r="A300" i="16" s="1"/>
  <c r="A301" i="16" s="1"/>
  <c r="A302" i="16" s="1"/>
  <c r="A303" i="16" s="1"/>
  <c r="A304" i="16" s="1"/>
  <c r="A305" i="16" s="1"/>
  <c r="A306" i="16" s="1"/>
  <c r="A307" i="16" s="1"/>
  <c r="A308" i="16" s="1"/>
  <c r="A309" i="16" s="1"/>
  <c r="A310" i="16" s="1"/>
  <c r="A311" i="16" s="1"/>
  <c r="A312" i="16" s="1"/>
  <c r="A313" i="16" s="1"/>
  <c r="A314" i="16" s="1"/>
  <c r="A315" i="16" s="1"/>
  <c r="A316" i="16" s="1"/>
  <c r="A317" i="16" s="1"/>
  <c r="A318" i="16" s="1"/>
  <c r="A319" i="16" s="1"/>
  <c r="A320" i="16" s="1"/>
  <c r="A321" i="16" s="1"/>
  <c r="A322" i="16" s="1"/>
  <c r="A323" i="16" s="1"/>
  <c r="A324" i="16" s="1"/>
  <c r="A325" i="16" s="1"/>
  <c r="A326" i="16" s="1"/>
  <c r="A327" i="16" s="1"/>
  <c r="A328" i="16" s="1"/>
  <c r="A329" i="16" s="1"/>
  <c r="A330" i="16" s="1"/>
  <c r="A331" i="16" s="1"/>
  <c r="A332" i="16" s="1"/>
  <c r="A333" i="16" s="1"/>
  <c r="A334" i="16" s="1"/>
  <c r="A335" i="16" s="1"/>
  <c r="A336" i="16" s="1"/>
  <c r="A337" i="16" s="1"/>
  <c r="A338" i="16" s="1"/>
  <c r="A339" i="16" s="1"/>
  <c r="A340" i="16" s="1"/>
  <c r="A341" i="16" s="1"/>
  <c r="A342" i="16" s="1"/>
  <c r="A343" i="16" s="1"/>
  <c r="A344" i="16" s="1"/>
  <c r="A345" i="16" s="1"/>
  <c r="A346" i="16" s="1"/>
  <c r="A347" i="16" s="1"/>
  <c r="A348" i="16" s="1"/>
  <c r="A349" i="16" s="1"/>
  <c r="A350" i="16" s="1"/>
  <c r="A351" i="16" s="1"/>
  <c r="A352" i="16" s="1"/>
  <c r="A353" i="16" s="1"/>
  <c r="A354" i="16" s="1"/>
  <c r="A355" i="16" s="1"/>
  <c r="A356" i="16" s="1"/>
  <c r="A357" i="16" s="1"/>
  <c r="A358" i="16" s="1"/>
  <c r="A359" i="16" s="1"/>
  <c r="A360" i="16" s="1"/>
  <c r="A361" i="16" s="1"/>
  <c r="A362" i="16" s="1"/>
  <c r="A363" i="16" s="1"/>
  <c r="A364" i="16" s="1"/>
  <c r="A365" i="16" s="1"/>
  <c r="A366" i="16" s="1"/>
  <c r="A367" i="16" s="1"/>
  <c r="A368" i="16" s="1"/>
  <c r="A369" i="16" s="1"/>
  <c r="A370" i="16" s="1"/>
  <c r="A371" i="16" s="1"/>
  <c r="A372" i="16" s="1"/>
  <c r="A375" i="16" s="1"/>
  <c r="A376" i="16" s="1"/>
  <c r="A379" i="16" s="1"/>
  <c r="A380" i="16" s="1"/>
  <c r="A381" i="16" s="1"/>
  <c r="A382" i="16" s="1"/>
  <c r="A385" i="16" s="1"/>
  <c r="A386" i="16" s="1"/>
  <c r="A387" i="16" s="1"/>
  <c r="A388" i="16" s="1"/>
  <c r="A389" i="16" s="1"/>
  <c r="A390" i="16" s="1"/>
  <c r="A391" i="16" s="1"/>
  <c r="A392" i="16" s="1"/>
  <c r="A397" i="16" s="1"/>
  <c r="A398" i="16" s="1"/>
  <c r="A399" i="16" s="1"/>
  <c r="A400" i="16" s="1"/>
  <c r="A401" i="16" s="1"/>
  <c r="A402" i="16" s="1"/>
  <c r="A403" i="16" s="1"/>
  <c r="A404" i="16" s="1"/>
  <c r="A405" i="16" s="1"/>
  <c r="A406" i="16" s="1"/>
  <c r="A407" i="16" s="1"/>
  <c r="A408" i="16" s="1"/>
  <c r="A409" i="16" s="1"/>
  <c r="A410" i="16" s="1"/>
  <c r="A411" i="16" s="1"/>
  <c r="A412" i="16" s="1"/>
  <c r="A413" i="16" s="1"/>
  <c r="A414" i="16" s="1"/>
  <c r="A419" i="16" s="1"/>
  <c r="A420" i="16" s="1"/>
  <c r="A421" i="16" s="1"/>
  <c r="A426" i="16" s="1"/>
  <c r="A427" i="16" s="1"/>
  <c r="A428" i="16" s="1"/>
  <c r="A429" i="16" s="1"/>
  <c r="A430" i="16" s="1"/>
  <c r="A431" i="16" s="1"/>
  <c r="A434" i="16" s="1"/>
  <c r="A435" i="16" s="1"/>
  <c r="A436" i="16" s="1"/>
  <c r="A437" i="16" s="1"/>
  <c r="A438" i="16" s="1"/>
  <c r="A439" i="16" s="1"/>
  <c r="A442" i="16" s="1"/>
  <c r="A443" i="16" s="1"/>
  <c r="A444" i="16" s="1"/>
  <c r="A445" i="16" s="1"/>
  <c r="A446" i="16" s="1"/>
  <c r="A449" i="16" s="1"/>
  <c r="A450" i="16" s="1"/>
  <c r="A451" i="16" s="1"/>
  <c r="A452" i="16" s="1"/>
  <c r="A453" i="16" s="1"/>
  <c r="A456" i="16" s="1"/>
  <c r="A457" i="16" s="1"/>
  <c r="A458" i="16" s="1"/>
  <c r="A459" i="16" s="1"/>
  <c r="A460" i="16" s="1"/>
  <c r="A461" i="16" s="1"/>
  <c r="A462" i="16" s="1"/>
  <c r="A467" i="16" s="1"/>
  <c r="A468" i="16" s="1"/>
  <c r="A469" i="16" s="1"/>
  <c r="A470" i="16" s="1"/>
  <c r="A471" i="16" s="1"/>
  <c r="A472" i="16" s="1"/>
  <c r="A473" i="16" s="1"/>
  <c r="A474" i="16" s="1"/>
  <c r="A475" i="16" s="1"/>
  <c r="A476" i="16" s="1"/>
  <c r="A477" i="16" s="1"/>
  <c r="A478" i="16" s="1"/>
  <c r="A479" i="16" s="1"/>
  <c r="A480" i="16" s="1"/>
  <c r="A481" i="16" s="1"/>
  <c r="A482" i="16" s="1"/>
  <c r="A483" i="16" s="1"/>
  <c r="A484" i="16" s="1"/>
  <c r="A485" i="16" s="1"/>
  <c r="A486" i="16" s="1"/>
  <c r="A487" i="16" s="1"/>
  <c r="A488" i="16" s="1"/>
  <c r="A489" i="16" s="1"/>
  <c r="A490" i="16" s="1"/>
  <c r="A493" i="16" s="1"/>
  <c r="A494" i="16" s="1"/>
  <c r="A495" i="16" s="1"/>
  <c r="A496" i="16" s="1"/>
  <c r="A497" i="16" s="1"/>
  <c r="A498" i="16" s="1"/>
  <c r="A499" i="16" s="1"/>
  <c r="A500" i="16" s="1"/>
  <c r="A501" i="16" s="1"/>
  <c r="A502" i="16" s="1"/>
  <c r="A503" i="16" s="1"/>
  <c r="A504" i="16" s="1"/>
  <c r="A505" i="16" s="1"/>
  <c r="A506" i="16" s="1"/>
  <c r="A509" i="16" s="1"/>
  <c r="A510" i="16" s="1"/>
  <c r="A511" i="16" s="1"/>
  <c r="A512" i="16" s="1"/>
  <c r="A513" i="16" s="1"/>
  <c r="A514" i="16" s="1"/>
  <c r="A515" i="16" s="1"/>
  <c r="A516" i="16" s="1"/>
  <c r="A517" i="16" s="1"/>
  <c r="A518" i="16" s="1"/>
  <c r="A519" i="16" s="1"/>
  <c r="A520" i="16" s="1"/>
  <c r="A521" i="16" s="1"/>
  <c r="A522" i="16" s="1"/>
  <c r="A523" i="16" s="1"/>
  <c r="A524" i="16" s="1"/>
  <c r="A525" i="16" s="1"/>
  <c r="A526" i="16" s="1"/>
  <c r="A527" i="16" s="1"/>
  <c r="A528" i="16" s="1"/>
  <c r="A529" i="16" s="1"/>
  <c r="A530" i="16" s="1"/>
  <c r="A531" i="16" s="1"/>
  <c r="A532" i="16" s="1"/>
  <c r="A533" i="16" s="1"/>
  <c r="A534" i="16" s="1"/>
  <c r="A535" i="16" s="1"/>
  <c r="A536" i="16" s="1"/>
  <c r="A537" i="16" s="1"/>
  <c r="A538" i="16" s="1"/>
  <c r="A539" i="16" s="1"/>
  <c r="A540" i="16" s="1"/>
  <c r="A543" i="16" s="1"/>
  <c r="A544" i="16" s="1"/>
  <c r="A547" i="16" s="1"/>
  <c r="A548" i="16" s="1"/>
  <c r="A553" i="16" s="1"/>
  <c r="A554" i="16" s="1"/>
  <c r="A555" i="16" s="1"/>
  <c r="A556" i="16" s="1"/>
  <c r="A557" i="16" s="1"/>
  <c r="A558" i="16" s="1"/>
  <c r="A559" i="16" s="1"/>
  <c r="A560" i="16" s="1"/>
  <c r="A563" i="16" s="1"/>
  <c r="A564" i="16" s="1"/>
  <c r="A565" i="16" s="1"/>
  <c r="A566" i="16" s="1"/>
  <c r="A567" i="16" s="1"/>
  <c r="A568" i="16" s="1"/>
  <c r="A569" i="16" s="1"/>
  <c r="A570" i="16" s="1"/>
  <c r="A571" i="16" s="1"/>
  <c r="A572" i="16" s="1"/>
  <c r="A573" i="16" s="1"/>
  <c r="A574" i="16" s="1"/>
  <c r="A575" i="16" s="1"/>
  <c r="A576" i="16" s="1"/>
  <c r="A577" i="16" s="1"/>
  <c r="A578" i="16" s="1"/>
  <c r="A579" i="16" s="1"/>
  <c r="A580" i="16" s="1"/>
  <c r="A581" i="16" s="1"/>
  <c r="A582" i="16" s="1"/>
  <c r="A583" i="16" s="1"/>
  <c r="A584" i="16" s="1"/>
  <c r="A585" i="16" s="1"/>
  <c r="A586" i="16" s="1"/>
  <c r="A587" i="16" s="1"/>
  <c r="A588" i="16" s="1"/>
  <c r="A589" i="16" s="1"/>
  <c r="A592" i="16" s="1"/>
  <c r="A593" i="16" s="1"/>
  <c r="A594" i="16" s="1"/>
  <c r="A595" i="16" s="1"/>
  <c r="A598" i="16" s="1"/>
  <c r="A599" i="16" s="1"/>
  <c r="A600" i="16" s="1"/>
  <c r="A601" i="16" s="1"/>
  <c r="A602" i="16" s="1"/>
  <c r="A603" i="16" s="1"/>
  <c r="A604" i="16" s="1"/>
  <c r="A605" i="16" s="1"/>
  <c r="A606" i="16" s="1"/>
  <c r="A607" i="16" s="1"/>
  <c r="A608" i="16" s="1"/>
  <c r="A609" i="16" s="1"/>
  <c r="A610" i="16" s="1"/>
  <c r="A611" i="16" s="1"/>
  <c r="A612" i="16" s="1"/>
  <c r="A615" i="16" s="1"/>
  <c r="A616" i="16" s="1"/>
  <c r="A617" i="16" s="1"/>
  <c r="A618" i="16" s="1"/>
  <c r="A619" i="16" s="1"/>
  <c r="A620" i="16" s="1"/>
  <c r="A621" i="16" s="1"/>
  <c r="A622" i="16" s="1"/>
  <c r="A623" i="16" s="1"/>
  <c r="A626" i="16" s="1"/>
  <c r="A627" i="16" s="1"/>
  <c r="A628" i="16" s="1"/>
  <c r="A629" i="16" s="1"/>
  <c r="A630" i="16" s="1"/>
  <c r="A631" i="16" s="1"/>
  <c r="A632" i="16" s="1"/>
  <c r="A633" i="16" s="1"/>
  <c r="A634" i="16" s="1"/>
  <c r="A635" i="16" s="1"/>
  <c r="A636" i="16" s="1"/>
  <c r="A641" i="16" s="1"/>
  <c r="A646" i="16" s="1"/>
  <c r="A647" i="16" s="1"/>
  <c r="A652" i="16" s="1"/>
  <c r="A653" i="16" s="1"/>
  <c r="A654" i="16" s="1"/>
  <c r="A655" i="16" s="1"/>
  <c r="A656" i="16" s="1"/>
  <c r="A657" i="16" s="1"/>
  <c r="A658" i="16" s="1"/>
  <c r="A659" i="16" s="1"/>
  <c r="A660" i="16" s="1"/>
  <c r="A661" i="16" s="1"/>
  <c r="A662" i="16" s="1"/>
  <c r="A663" i="16" s="1"/>
  <c r="A664" i="16" s="1"/>
  <c r="A665" i="16" s="1"/>
  <c r="A666" i="16" s="1"/>
  <c r="A667" i="16" s="1"/>
  <c r="A668" i="16" s="1"/>
  <c r="A669" i="16" s="1"/>
  <c r="A670" i="16" s="1"/>
  <c r="A671" i="16" s="1"/>
  <c r="A672" i="16" s="1"/>
  <c r="A673" i="16" s="1"/>
  <c r="A674" i="16" s="1"/>
  <c r="A675" i="16" s="1"/>
  <c r="A676" i="16" s="1"/>
  <c r="A677" i="16" s="1"/>
  <c r="A678" i="16" s="1"/>
  <c r="A679" i="16" s="1"/>
  <c r="A680" i="16" s="1"/>
  <c r="A681" i="16" s="1"/>
  <c r="A682" i="16" s="1"/>
  <c r="A683" i="16" s="1"/>
  <c r="A684" i="16" s="1"/>
  <c r="A685" i="16" s="1"/>
  <c r="A686" i="16" s="1"/>
  <c r="A687" i="16" s="1"/>
  <c r="A688" i="16" s="1"/>
  <c r="A689" i="16" s="1"/>
  <c r="A690" i="16" s="1"/>
  <c r="A691" i="16" s="1"/>
  <c r="A692" i="16" s="1"/>
  <c r="A693" i="16" s="1"/>
  <c r="A694" i="16" s="1"/>
  <c r="A695" i="16" s="1"/>
  <c r="A696" i="16" s="1"/>
  <c r="A697" i="16" s="1"/>
  <c r="A700" i="16" s="1"/>
  <c r="A701" i="16" s="1"/>
  <c r="A702" i="16" s="1"/>
  <c r="A703" i="16" s="1"/>
  <c r="A704" i="16" s="1"/>
  <c r="A705" i="16" s="1"/>
  <c r="A706" i="16" s="1"/>
  <c r="A707" i="16" s="1"/>
  <c r="A708" i="16" s="1"/>
  <c r="A709" i="16" s="1"/>
  <c r="A710" i="16" s="1"/>
  <c r="A711" i="16" s="1"/>
  <c r="A712" i="16" s="1"/>
  <c r="A713" i="16" s="1"/>
  <c r="A714" i="16" s="1"/>
  <c r="A715" i="16" s="1"/>
  <c r="A716" i="16" s="1"/>
  <c r="A717" i="16" s="1"/>
  <c r="A718" i="16" s="1"/>
  <c r="A721" i="16" s="1"/>
  <c r="A722" i="16" s="1"/>
  <c r="A723" i="16" s="1"/>
  <c r="A724" i="16" s="1"/>
  <c r="A725" i="16" s="1"/>
  <c r="A726" i="16" s="1"/>
  <c r="A727" i="16" s="1"/>
  <c r="A728" i="16" s="1"/>
  <c r="A729" i="16" s="1"/>
  <c r="A734" i="16" s="1"/>
  <c r="A735" i="16" s="1"/>
  <c r="A737" i="16" s="1"/>
  <c r="A742" i="16" s="1"/>
  <c r="A743" i="16" s="1"/>
  <c r="A744" i="16" s="1"/>
  <c r="A745" i="16" s="1"/>
  <c r="A746" i="16" s="1"/>
  <c r="A747" i="16" s="1"/>
  <c r="A748" i="16" s="1"/>
  <c r="A749" i="16" s="1"/>
  <c r="A750" i="16" s="1"/>
  <c r="A751" i="16" s="1"/>
  <c r="A752" i="16" s="1"/>
  <c r="A753" i="16" s="1"/>
  <c r="A754" i="16" s="1"/>
  <c r="A755" i="16" s="1"/>
  <c r="A756" i="16" s="1"/>
  <c r="A757" i="16" s="1"/>
  <c r="A758" i="16" s="1"/>
  <c r="A759" i="16" s="1"/>
  <c r="A760" i="16" s="1"/>
  <c r="A761" i="16" s="1"/>
  <c r="A762" i="16" s="1"/>
  <c r="A763" i="16" s="1"/>
  <c r="A764" i="16" s="1"/>
  <c r="A765" i="16" s="1"/>
  <c r="A766" i="16" s="1"/>
  <c r="A767" i="16" s="1"/>
  <c r="A768" i="16" s="1"/>
  <c r="A769" i="16" s="1"/>
  <c r="A770" i="16" s="1"/>
  <c r="A771" i="16" s="1"/>
  <c r="A772" i="16" s="1"/>
  <c r="A773" i="16" s="1"/>
  <c r="A774" i="16" s="1"/>
  <c r="A775" i="16" s="1"/>
  <c r="A776" i="16" s="1"/>
  <c r="A777" i="16" s="1"/>
  <c r="A778" i="16" s="1"/>
  <c r="A779" i="16" s="1"/>
  <c r="A780" i="16" s="1"/>
  <c r="A781" i="16" s="1"/>
  <c r="A782" i="16" s="1"/>
  <c r="A783" i="16" s="1"/>
  <c r="A784" i="16" s="1"/>
  <c r="A785" i="16" s="1"/>
  <c r="A786" i="16" s="1"/>
  <c r="A787" i="16" s="1"/>
  <c r="A788" i="16" s="1"/>
  <c r="A789" i="16" s="1"/>
  <c r="A790" i="16" s="1"/>
  <c r="A791" i="16" s="1"/>
  <c r="A792" i="16" s="1"/>
  <c r="A793" i="16" s="1"/>
  <c r="A794" i="16" s="1"/>
  <c r="A795" i="16" s="1"/>
  <c r="A796" i="16" s="1"/>
  <c r="A797" i="16" s="1"/>
  <c r="A798" i="16" s="1"/>
  <c r="A799" i="16" s="1"/>
  <c r="A800" i="16" s="1"/>
  <c r="A801" i="16" s="1"/>
  <c r="A802" i="16" s="1"/>
  <c r="A803" i="16" s="1"/>
  <c r="A804" i="16" s="1"/>
  <c r="A805" i="16" s="1"/>
  <c r="A806" i="16" s="1"/>
  <c r="A807" i="16" s="1"/>
  <c r="A808" i="16" s="1"/>
  <c r="A809" i="16" s="1"/>
  <c r="A810" i="16" s="1"/>
  <c r="A811" i="16" s="1"/>
  <c r="A812" i="16" s="1"/>
  <c r="A813" i="16" s="1"/>
  <c r="A814" i="16" s="1"/>
  <c r="A815" i="16" s="1"/>
  <c r="A816" i="16" s="1"/>
  <c r="A817" i="16" s="1"/>
  <c r="A818" i="16" s="1"/>
  <c r="A819" i="16" s="1"/>
  <c r="A820" i="16" s="1"/>
  <c r="A821" i="16" s="1"/>
  <c r="A822" i="16" s="1"/>
  <c r="A823" i="16" s="1"/>
  <c r="A824" i="16" s="1"/>
  <c r="A825" i="16" s="1"/>
  <c r="A826" i="16" s="1"/>
  <c r="A827" i="16" s="1"/>
  <c r="A828" i="16" s="1"/>
  <c r="A829" i="16" s="1"/>
  <c r="A830" i="16" s="1"/>
  <c r="A831" i="16" s="1"/>
  <c r="A832" i="16" s="1"/>
  <c r="A833" i="16" s="1"/>
  <c r="A836" i="16" s="1"/>
  <c r="A839" i="16" s="1"/>
  <c r="A840" i="16" s="1"/>
  <c r="A841" i="16" s="1"/>
  <c r="A842" i="16" s="1"/>
  <c r="A843" i="16" s="1"/>
  <c r="A844" i="16" s="1"/>
  <c r="A845" i="16" s="1"/>
  <c r="A846" i="16" s="1"/>
  <c r="A847" i="16" s="1"/>
  <c r="A848" i="16" s="1"/>
  <c r="A849" i="16" s="1"/>
  <c r="A850" i="16" s="1"/>
  <c r="A851" i="16" s="1"/>
  <c r="A852" i="16" s="1"/>
  <c r="A853" i="16" s="1"/>
  <c r="A854" i="16" s="1"/>
  <c r="A855" i="16" s="1"/>
  <c r="A856" i="16" s="1"/>
  <c r="A857" i="16" s="1"/>
  <c r="A858" i="16" s="1"/>
  <c r="A859" i="16" s="1"/>
  <c r="A860" i="16" s="1"/>
  <c r="A861" i="16" s="1"/>
  <c r="A862" i="16" s="1"/>
  <c r="A863" i="16" s="1"/>
  <c r="A864" i="16" s="1"/>
  <c r="A865" i="16" s="1"/>
  <c r="A866" i="16" s="1"/>
  <c r="A867" i="16" s="1"/>
  <c r="A868" i="16" s="1"/>
  <c r="A869" i="16" s="1"/>
  <c r="A870" i="16" s="1"/>
  <c r="A871" i="16" s="1"/>
  <c r="A872" i="16" s="1"/>
  <c r="A873" i="16" s="1"/>
  <c r="A874" i="16" s="1"/>
  <c r="A875" i="16" s="1"/>
  <c r="A876" i="16" s="1"/>
  <c r="A877" i="16" s="1"/>
  <c r="A878" i="16" s="1"/>
  <c r="A879" i="16" s="1"/>
  <c r="A880" i="16" s="1"/>
  <c r="A881" i="16" s="1"/>
  <c r="A882" i="16" s="1"/>
  <c r="A883" i="16" s="1"/>
  <c r="A884" i="16" s="1"/>
  <c r="A885" i="16" s="1"/>
  <c r="A886" i="16" s="1"/>
  <c r="A887" i="16" s="1"/>
  <c r="A888" i="16" s="1"/>
  <c r="A889" i="16" s="1"/>
  <c r="A890" i="16" s="1"/>
  <c r="A891" i="16" s="1"/>
  <c r="A892" i="16" s="1"/>
  <c r="A893" i="16" s="1"/>
  <c r="A894" i="16" s="1"/>
  <c r="A895" i="16" s="1"/>
  <c r="A896" i="16" s="1"/>
  <c r="A897" i="16" s="1"/>
  <c r="A898" i="16" s="1"/>
  <c r="A899" i="16" s="1"/>
  <c r="A900" i="16" s="1"/>
  <c r="A901" i="16" s="1"/>
  <c r="A902" i="16" s="1"/>
  <c r="A903" i="16" s="1"/>
  <c r="A904" i="16" s="1"/>
  <c r="A905" i="16" s="1"/>
  <c r="A906" i="16" s="1"/>
  <c r="A907" i="16" s="1"/>
  <c r="A908" i="16" s="1"/>
  <c r="A909" i="16" s="1"/>
  <c r="A910" i="16" s="1"/>
  <c r="A911" i="16" s="1"/>
  <c r="A912" i="16" s="1"/>
  <c r="A913" i="16" s="1"/>
  <c r="A914" i="16" s="1"/>
  <c r="A915" i="16" s="1"/>
  <c r="A916" i="16" s="1"/>
  <c r="A917" i="16" s="1"/>
  <c r="A918" i="16" s="1"/>
  <c r="A919" i="16" s="1"/>
  <c r="A920" i="16" s="1"/>
  <c r="A921" i="16" s="1"/>
  <c r="A922" i="16" s="1"/>
  <c r="A923" i="16" s="1"/>
  <c r="A924" i="16" s="1"/>
  <c r="A925" i="16" s="1"/>
  <c r="A926" i="16" s="1"/>
  <c r="A927" i="16" s="1"/>
  <c r="A928" i="16" s="1"/>
  <c r="A929" i="16" s="1"/>
  <c r="A930" i="16" s="1"/>
  <c r="A931" i="16" s="1"/>
  <c r="A932" i="16" s="1"/>
  <c r="A933" i="16" s="1"/>
  <c r="A934" i="16" s="1"/>
  <c r="A935" i="16" s="1"/>
  <c r="A936" i="16" s="1"/>
  <c r="A937" i="16" s="1"/>
  <c r="A939" i="16" s="1"/>
  <c r="A942" i="16" s="1"/>
  <c r="A943" i="16" s="1"/>
  <c r="A944" i="16" s="1"/>
  <c r="A945" i="16" s="1"/>
  <c r="A948" i="16" s="1"/>
  <c r="A951" i="16" s="1"/>
  <c r="A952" i="16" s="1"/>
  <c r="A953" i="16" s="1"/>
  <c r="A954" i="16" s="1"/>
  <c r="A955" i="16" s="1"/>
  <c r="A958" i="16" s="1"/>
  <c r="A959" i="16" s="1"/>
  <c r="A960" i="16" s="1"/>
  <c r="A963" i="16" s="1"/>
  <c r="A964" i="16" s="1"/>
  <c r="A965" i="16" s="1"/>
  <c r="A966" i="16" s="1"/>
  <c r="A967" i="16" s="1"/>
  <c r="A968" i="16" s="1"/>
  <c r="A969" i="16" s="1"/>
  <c r="A972" i="16" s="1"/>
  <c r="A975" i="16" s="1"/>
  <c r="A978" i="16" s="1"/>
  <c r="A981" i="16" s="1"/>
  <c r="A984" i="16" s="1"/>
  <c r="A987" i="16" s="1"/>
  <c r="A988" i="16" s="1"/>
  <c r="A989" i="16" s="1"/>
  <c r="A990" i="16" s="1"/>
  <c r="A991" i="16" s="1"/>
  <c r="A994" i="16" s="1"/>
  <c r="A997" i="16" s="1"/>
  <c r="A998" i="16" s="1"/>
  <c r="A999" i="16" s="1"/>
  <c r="A1000" i="16" s="1"/>
  <c r="A1001" i="16" s="1"/>
  <c r="A1004" i="16" s="1"/>
  <c r="A1005" i="16" s="1"/>
  <c r="A1006" i="16" s="1"/>
  <c r="A1007" i="16" s="1"/>
  <c r="A1008" i="16" s="1"/>
  <c r="A1009" i="16" s="1"/>
  <c r="A1012" i="16" s="1"/>
  <c r="A1013" i="16" s="1"/>
  <c r="A1014" i="16" s="1"/>
  <c r="A1017" i="16" s="1"/>
  <c r="A1018" i="16" s="1"/>
  <c r="A1019" i="16" s="1"/>
  <c r="A1022" i="16" s="1"/>
  <c r="A1025" i="16" s="1"/>
  <c r="A1026" i="16" s="1"/>
  <c r="A1027" i="16" s="1"/>
  <c r="A1028" i="16" s="1"/>
  <c r="A1029" i="16" s="1"/>
  <c r="A1030" i="16" s="1"/>
  <c r="A1031" i="16" s="1"/>
  <c r="A1032" i="16" s="1"/>
  <c r="A1033" i="16" s="1"/>
  <c r="A1034" i="16" s="1"/>
  <c r="A1039" i="16" s="1"/>
  <c r="A1040" i="16" s="1"/>
  <c r="A1041" i="16" s="1"/>
  <c r="A1042" i="16" s="1"/>
  <c r="A1043" i="16" s="1"/>
  <c r="A1044" i="16" s="1"/>
  <c r="A1045" i="16" s="1"/>
  <c r="A1046" i="16" s="1"/>
  <c r="A1047" i="16" s="1"/>
  <c r="A1048" i="16" s="1"/>
  <c r="A1049" i="16" s="1"/>
  <c r="A1050" i="16" s="1"/>
  <c r="A1051" i="16" s="1"/>
  <c r="A1052" i="16" s="1"/>
  <c r="A1053" i="16" s="1"/>
  <c r="A1054" i="16" s="1"/>
  <c r="A1055" i="16" s="1"/>
  <c r="A1056" i="16" s="1"/>
  <c r="A1057" i="16" s="1"/>
  <c r="A1058" i="16" s="1"/>
  <c r="A1059" i="16" s="1"/>
  <c r="A1060" i="16" s="1"/>
  <c r="A1061" i="16" s="1"/>
  <c r="A1062" i="16" s="1"/>
  <c r="A1063" i="16" s="1"/>
  <c r="A1064" i="16" s="1"/>
  <c r="A1065" i="16" s="1"/>
  <c r="A1066" i="16" s="1"/>
  <c r="A1067" i="16" s="1"/>
  <c r="A1068" i="16" s="1"/>
  <c r="A1069" i="16" s="1"/>
  <c r="A1070" i="16" s="1"/>
  <c r="A1071" i="16" s="1"/>
  <c r="A1072" i="16" s="1"/>
  <c r="A1073" i="16" s="1"/>
  <c r="A1074" i="16" s="1"/>
  <c r="A1075" i="16" s="1"/>
  <c r="A1076" i="16" s="1"/>
  <c r="A1077" i="16" s="1"/>
  <c r="A1078" i="16" s="1"/>
  <c r="A1079" i="16" s="1"/>
  <c r="A1080" i="16" s="1"/>
  <c r="A1081" i="16" s="1"/>
  <c r="A1082" i="16" s="1"/>
  <c r="A1083" i="16" s="1"/>
  <c r="A1084" i="16" s="1"/>
  <c r="A1085" i="16" s="1"/>
  <c r="A1086" i="16" s="1"/>
  <c r="A1087" i="16" s="1"/>
  <c r="A1088" i="16" s="1"/>
  <c r="A1089" i="16" s="1"/>
  <c r="A1092" i="16" s="1"/>
  <c r="A1093" i="16" s="1"/>
  <c r="A1094" i="16" s="1"/>
  <c r="A1095" i="16" s="1"/>
  <c r="A1096" i="16" s="1"/>
  <c r="A1097" i="16" s="1"/>
  <c r="A1098" i="16" s="1"/>
  <c r="A1099" i="16" s="1"/>
  <c r="A1100" i="16" s="1"/>
  <c r="A1101" i="16" s="1"/>
  <c r="A1102" i="16" s="1"/>
  <c r="A1103" i="16" s="1"/>
  <c r="A1104" i="16" s="1"/>
  <c r="A1105" i="16" s="1"/>
  <c r="A1106" i="16" s="1"/>
  <c r="A1107" i="16" s="1"/>
  <c r="A1108" i="16" s="1"/>
  <c r="A1111" i="16" s="1"/>
  <c r="A1112" i="16" s="1"/>
  <c r="A1113" i="16" s="1"/>
  <c r="A1114" i="16" s="1"/>
  <c r="A1115" i="16" s="1"/>
  <c r="A1117" i="16" s="1"/>
  <c r="A1119" i="16" s="1"/>
  <c r="A1122" i="16" s="1"/>
  <c r="A1123" i="16" s="1"/>
  <c r="A1124" i="16" s="1"/>
  <c r="A1125" i="16" s="1"/>
  <c r="A1126" i="16" s="1"/>
  <c r="A1127" i="16" s="1"/>
  <c r="A1128" i="16" s="1"/>
  <c r="A1129" i="16" s="1"/>
  <c r="A1130" i="16" s="1"/>
  <c r="A1133" i="16" s="1"/>
  <c r="A1134" i="16" s="1"/>
  <c r="A1135" i="16" s="1"/>
  <c r="A1136" i="16" s="1"/>
  <c r="A1137" i="16" s="1"/>
  <c r="A1138" i="16" s="1"/>
  <c r="A1139" i="16" s="1"/>
  <c r="A1140" i="16" s="1"/>
  <c r="A1141" i="16" s="1"/>
  <c r="A1142" i="16" s="1"/>
  <c r="A1145" i="16" s="1"/>
  <c r="A1146" i="16" s="1"/>
  <c r="A1147" i="16" s="1"/>
  <c r="A1148" i="16" s="1"/>
  <c r="A1149" i="16" s="1"/>
  <c r="A1150" i="16" s="1"/>
  <c r="A1151" i="16" s="1"/>
  <c r="A1152" i="16" s="1"/>
  <c r="A1153" i="16" s="1"/>
  <c r="A1154" i="16" s="1"/>
  <c r="A1157" i="16" s="1"/>
  <c r="A1158" i="16" s="1"/>
  <c r="A1159" i="16" s="1"/>
  <c r="A1162" i="16" s="1"/>
  <c r="A1163" i="16" s="1"/>
  <c r="A1164" i="16" s="1"/>
  <c r="A1165" i="16" s="1"/>
  <c r="A1166" i="16" s="1"/>
  <c r="A1167" i="16" s="1"/>
  <c r="A1168" i="16" s="1"/>
  <c r="A1169" i="16" s="1"/>
  <c r="A1170" i="16" s="1"/>
  <c r="A1171" i="16" s="1"/>
  <c r="A1172" i="16" s="1"/>
  <c r="A1173" i="16" s="1"/>
  <c r="A1176" i="16" s="1"/>
  <c r="A1177" i="16" s="1"/>
  <c r="A1182" i="16" s="1"/>
  <c r="A1183" i="16" s="1"/>
  <c r="A1184" i="16" s="1"/>
  <c r="A1185" i="16" s="1"/>
  <c r="A1186" i="16" s="1"/>
  <c r="A1187" i="16" s="1"/>
  <c r="A1188" i="16" s="1"/>
  <c r="A1189" i="16" s="1"/>
  <c r="A1190" i="16" s="1"/>
  <c r="A1191" i="16" s="1"/>
  <c r="A1192" i="16" s="1"/>
  <c r="A1193" i="16" s="1"/>
  <c r="A1194" i="16" s="1"/>
  <c r="A1195" i="16" s="1"/>
  <c r="A1196" i="16" s="1"/>
  <c r="A1197" i="16" s="1"/>
  <c r="A1198" i="16" s="1"/>
  <c r="A1199" i="16" s="1"/>
  <c r="A1200" i="16" s="1"/>
  <c r="A1201" i="16" s="1"/>
  <c r="A1202" i="16" s="1"/>
  <c r="A1203" i="16" s="1"/>
  <c r="A1204" i="16" s="1"/>
  <c r="A1205" i="16" s="1"/>
  <c r="A1207" i="16" s="1"/>
  <c r="A1212" i="16" s="1"/>
  <c r="A1215" i="16" s="1"/>
  <c r="A1216" i="16" s="1"/>
</calcChain>
</file>

<file path=xl/sharedStrings.xml><?xml version="1.0" encoding="utf-8"?>
<sst xmlns="http://schemas.openxmlformats.org/spreadsheetml/2006/main" count="2163" uniqueCount="1122">
  <si>
    <t>DESCRIPTION</t>
  </si>
  <si>
    <t>SUB TOTAL</t>
  </si>
  <si>
    <t>SR #</t>
  </si>
  <si>
    <t>QUANTITY</t>
  </si>
  <si>
    <t>WASTAGE
(10%)</t>
  </si>
  <si>
    <t>QTY WITH
WASTAGE</t>
  </si>
  <si>
    <t>UNIT OF
MEASURMENT</t>
  </si>
  <si>
    <t>TOTAL ITEM
COST</t>
  </si>
  <si>
    <t>TOTAL TRADE
COST</t>
  </si>
  <si>
    <t>TOTAL BID</t>
  </si>
  <si>
    <t>OVERHEAD &amp; PROFIT (25%)</t>
  </si>
  <si>
    <t>CSI SECT</t>
  </si>
  <si>
    <t>GENERAL CONDITIONS</t>
  </si>
  <si>
    <t>LS</t>
  </si>
  <si>
    <t>MECHANICAL</t>
  </si>
  <si>
    <t>Permits Documentation And Fees</t>
  </si>
  <si>
    <t>Hazardous Waste Or Disposal Work</t>
  </si>
  <si>
    <t>Owner Purchased, Contractor Installed Items</t>
  </si>
  <si>
    <t>Contractors Use Of New And Existing Facilities</t>
  </si>
  <si>
    <t>Correction Of Unsatisfactory Conditions</t>
  </si>
  <si>
    <t>Restoration Of Unit Damaged During Installation</t>
  </si>
  <si>
    <t xml:space="preserve">Replacement Of Units Which Cannot Be Restored </t>
  </si>
  <si>
    <t>Maintaining Existing Construction In Weather High Conditions</t>
  </si>
  <si>
    <t>Signage</t>
  </si>
  <si>
    <t>Supervisory Personnel</t>
  </si>
  <si>
    <t/>
  </si>
  <si>
    <t>Temporary Services</t>
  </si>
  <si>
    <t>Water</t>
  </si>
  <si>
    <t>Lighting And Power</t>
  </si>
  <si>
    <t>Toilet Facilities</t>
  </si>
  <si>
    <t>Material Storage</t>
  </si>
  <si>
    <t>Contractor's Safety Program</t>
  </si>
  <si>
    <t>EXISTING CONDITIONS</t>
  </si>
  <si>
    <t>METALS</t>
  </si>
  <si>
    <t>THERMAL &amp; MOISTURE PROTECTION</t>
  </si>
  <si>
    <t>OPENINGS</t>
  </si>
  <si>
    <t>FINISHES</t>
  </si>
  <si>
    <t>PLUMBING</t>
  </si>
  <si>
    <t>ELECTRICAL</t>
  </si>
  <si>
    <t xml:space="preserve">DATE: </t>
  </si>
  <si>
    <t>WOOD, PLASTICS &amp; COMPOSITES</t>
  </si>
  <si>
    <t>CONCRETE</t>
  </si>
  <si>
    <t>DIV.01</t>
  </si>
  <si>
    <t>DIV.02</t>
  </si>
  <si>
    <t>DIV.03</t>
  </si>
  <si>
    <t>MASONRY</t>
  </si>
  <si>
    <t>DIV.04</t>
  </si>
  <si>
    <t>DIV.05</t>
  </si>
  <si>
    <t>DIV.06</t>
  </si>
  <si>
    <t>DIV.07</t>
  </si>
  <si>
    <t>DIV.08</t>
  </si>
  <si>
    <t>DIV.09</t>
  </si>
  <si>
    <t>DIV.11</t>
  </si>
  <si>
    <t>DIV.12</t>
  </si>
  <si>
    <t>FURNISHINGS</t>
  </si>
  <si>
    <t>EQUIPMENTS</t>
  </si>
  <si>
    <t>DIV.22</t>
  </si>
  <si>
    <t>DIV.23</t>
  </si>
  <si>
    <t>DIV.26</t>
  </si>
  <si>
    <t>DIV.31</t>
  </si>
  <si>
    <t>EARTHWORKS</t>
  </si>
  <si>
    <t>Notes</t>
  </si>
  <si>
    <t>1. This estimate is based on real market prices that are regularly updated by our team persons through market surveys and online resoures, we still encourage our clients to put their own.</t>
  </si>
  <si>
    <t>2. This sheet is your property and we encourage you to fine tune the wastage and pricing values to your preference.</t>
  </si>
  <si>
    <t xml:space="preserve">PREPARED BY : </t>
  </si>
  <si>
    <t>LF</t>
  </si>
  <si>
    <t>EA</t>
  </si>
  <si>
    <t>PLUMBING FIXTURES</t>
  </si>
  <si>
    <t>EXHAUST FAN</t>
  </si>
  <si>
    <t>RECEPTACLES</t>
  </si>
  <si>
    <t>SWITCHES</t>
  </si>
  <si>
    <t>TELECOMMUNICATION</t>
  </si>
  <si>
    <t>JUNCTION BOX</t>
  </si>
  <si>
    <t>5/8" Gypsum Board</t>
  </si>
  <si>
    <t>PIPING</t>
  </si>
  <si>
    <t>Area Drain</t>
  </si>
  <si>
    <t>Floor Drain</t>
  </si>
  <si>
    <t>Roof Drain</t>
  </si>
  <si>
    <t>Water Closet</t>
  </si>
  <si>
    <t>Water Closet - ADA</t>
  </si>
  <si>
    <t>Urinal</t>
  </si>
  <si>
    <t>Urinal - ADA</t>
  </si>
  <si>
    <t>Lavatory - ADA</t>
  </si>
  <si>
    <t>Shower</t>
  </si>
  <si>
    <t>Shower - ADA</t>
  </si>
  <si>
    <t>Sink - ADA</t>
  </si>
  <si>
    <t>Exterior Wall Hydrant</t>
  </si>
  <si>
    <t>Mop Receptor</t>
  </si>
  <si>
    <t>Water Cooler/Bottle Fill</t>
  </si>
  <si>
    <t>Ice Machine Supply Box</t>
  </si>
  <si>
    <t>Washer Supply Box</t>
  </si>
  <si>
    <t>Hand Sink</t>
  </si>
  <si>
    <t>Tub Supply Box</t>
  </si>
  <si>
    <t>2 Station Lavatory</t>
  </si>
  <si>
    <t>PLUMBING EQUIPMENTS</t>
  </si>
  <si>
    <t>Hot Water Recirculation Pump, MFG: B&amp;G PL-36</t>
  </si>
  <si>
    <t>Elevator Sump Pump, MFG: Zoeller, Model: N152</t>
  </si>
  <si>
    <t>Gas Booster Pump, MFG: Spencer Turbine, Model: GL-0501-1/2-R-SYS0501V.5VS/DUPLEX</t>
  </si>
  <si>
    <t>Duplex Sewage Ejector Pump, MFG: Penn Pump, Model: AMX434-235/10</t>
  </si>
  <si>
    <t>Domestic Water Heater, MFG: PVI, Model: CONQUEST 20 L 100A-GCL</t>
  </si>
  <si>
    <t>PRV, MFG: Maxitrol, Model: 325-9B</t>
  </si>
  <si>
    <t>PRV, MFG: Maxitrol, Model: 325-7B</t>
  </si>
  <si>
    <t>PRV, MFG: Maxitrol, Model: 210E</t>
  </si>
  <si>
    <t>3" Rain Water Conductor</t>
  </si>
  <si>
    <t>1/2" Cold Water Pipe</t>
  </si>
  <si>
    <t>3/4"  Cold Water Pipe</t>
  </si>
  <si>
    <t>1" Cold Water Pipe</t>
  </si>
  <si>
    <t>1-1/2" Cold Water Pipe</t>
  </si>
  <si>
    <t>DUCT WORK</t>
  </si>
  <si>
    <t>AIR DEVICES</t>
  </si>
  <si>
    <t>THERMOSTAT</t>
  </si>
  <si>
    <t>DAMPERS</t>
  </si>
  <si>
    <t>Volume Damper</t>
  </si>
  <si>
    <t>Fire Damper</t>
  </si>
  <si>
    <t>Motorized Damper</t>
  </si>
  <si>
    <t>Backdraft Damper</t>
  </si>
  <si>
    <t>Refrigeration Piping</t>
  </si>
  <si>
    <t>DETECTION SYSTEM</t>
  </si>
  <si>
    <t>ROOF UNITS</t>
  </si>
  <si>
    <t>DOAS, MFG: LG, Model: AR-DE-310-30F-40I-C-1KA, 7500 CFM, GAS HEAT: 400 MBH input, 320MBH output, REHEAT CAPACITY: 149.1MBH</t>
  </si>
  <si>
    <t>DOAS, MFG: LG, Model: AR-DE-210-16F-25I-C-1KA, 4800 CFM, GAS HEAT: 250MBH input, 200MBH output, REHEAT CAPACITY: 143.8MBH</t>
  </si>
  <si>
    <t>DOAS, MFG: LG, Model: AR-DE-210-16F-25I-C-1KA, 4800 CFM, GAS HEAT: 200MBH input, 160MBH output, REHEAT CAPACITY: 102.9MBH</t>
  </si>
  <si>
    <t>DOAS, MFG: LG, Model: AR-DE-210-20C-30I-C-1KA, 6300 CFM, GAS HEAT: 200MBH input, 160MBH output, REHEAT CAPACITY: 93.1MBH</t>
  </si>
  <si>
    <t>RTU, MFG: LG, Model: AR-DE-352-50F-60I-C-1KA, 17000 CFM, GAS HEAT: 600MBH input, 480MBH input, REHEAT CAPACITY: 219.4MBH</t>
  </si>
  <si>
    <t>ELECTRIC UNIT HEATER</t>
  </si>
  <si>
    <t>UH, MFG: Berko, Model: HUHAA527, 350 CFM, 5kW, 24lbs</t>
  </si>
  <si>
    <t>UH, MFG: Berko, Model: HUHAA327, 350 CFM, 3kW, 24lbs</t>
  </si>
  <si>
    <t>UH, MFG: Berko, model: RUX3004832, 700 CFM, 3kW, 135lbs</t>
  </si>
  <si>
    <t>EF, MFG: Greenheck, Model: CUE-131-VG, 1200 CFM</t>
  </si>
  <si>
    <t>EF, MFG: Greenheck, Model: CUE-141-VG, 1800 CFM</t>
  </si>
  <si>
    <t>EF, MFG: Greenheck, Model: CUE-141-VG, 1400 CFM</t>
  </si>
  <si>
    <t>EF, MFG: Greenheck, Model: CUE-141-VG, 1000 CFM</t>
  </si>
  <si>
    <t>EF, MFG: Greenheck, Model: CUE-090-VG, 300 CFM</t>
  </si>
  <si>
    <t>EF, MFG: Greenheck, Model: CUE-080-VG, 200 CFM</t>
  </si>
  <si>
    <t>EF, MFG: Twin City, Model: DCRU-093BE, 360 CFM</t>
  </si>
  <si>
    <t>HEAT PUMP</t>
  </si>
  <si>
    <t>HP, MFG: LG, Model: LUU367HV, 3 Tons</t>
  </si>
  <si>
    <t>AIR CONDITIONING UNIT</t>
  </si>
  <si>
    <t>AC, MFG: LG, Model: LCN367HV, 990 CFM</t>
  </si>
  <si>
    <t>SUPPLY FAN</t>
  </si>
  <si>
    <t>SF, MFG: Greenheck, Model: QEID-20-85-A50, 8800 CFM</t>
  </si>
  <si>
    <t>TRANSFER FAN</t>
  </si>
  <si>
    <t>TF, MFG: Greenheck, Model: SQ-95-VG, 200 CFM</t>
  </si>
  <si>
    <t>ELECTRIC RADIANT CEILING PANEL</t>
  </si>
  <si>
    <t>RCP, MFG: Berko, Model: CP371F, 375W</t>
  </si>
  <si>
    <t>VRF OUTDOOR HEAT RECOVERY UNITS</t>
  </si>
  <si>
    <t>OHRU, MFG: LG, Model: ARUM264DTE5, 22 Tons</t>
  </si>
  <si>
    <t>OHRU, MFG: LG, Model: ARUM360DTE5, 30 Tons</t>
  </si>
  <si>
    <t>OHRU, MFG: LG, Model: ARUM408DTE5, 34 Tons</t>
  </si>
  <si>
    <t>OHRU, MFG: LG, Model: ARUM121DTE5, 10 Tons</t>
  </si>
  <si>
    <t>OHRU, MFG: LG, Model: ARUM504DTE5, 42 Tons</t>
  </si>
  <si>
    <t>CONDENSATE PUMP</t>
  </si>
  <si>
    <t>CP, MFG: Little Giant, Model: VCMX-20ULS</t>
  </si>
  <si>
    <t>VRF INDOOR HEAT RECOVERY UNIT</t>
  </si>
  <si>
    <t>IHRU, MFG: LG, Model: PRHR023A</t>
  </si>
  <si>
    <t>IHRU, MFG: LG, Model: PRHR033A</t>
  </si>
  <si>
    <t>IHRU, MFG: LG, Model: PRHR063A</t>
  </si>
  <si>
    <t>IHRU, MFG: LG, Model: PRHR043A</t>
  </si>
  <si>
    <t>IHRU, MFG: LG, Model: PRHR083A</t>
  </si>
  <si>
    <t>VRF CEILING CASSETTE UNIT</t>
  </si>
  <si>
    <t>CC, MFG: LG, Model: ARNU123TRD4</t>
  </si>
  <si>
    <t>CC, MFG: LG, Model: ARNU073TRD4</t>
  </si>
  <si>
    <t>CC, MFG: LG, Model: ARNU053TRD4</t>
  </si>
  <si>
    <t>CC, MFG: LG, Model: ARNU183TQD4</t>
  </si>
  <si>
    <t>CC, MFG: LG, Model: ARNU093TRD4</t>
  </si>
  <si>
    <t>CC, MFG: LG, Model: ARNU243TPC4</t>
  </si>
  <si>
    <t>CABINET UNIT HEATER</t>
  </si>
  <si>
    <t>CUH, MFG: Indeeco, Model: 922U08000N</t>
  </si>
  <si>
    <t>CUH, MFG: Indeeco, Model: 922U04000N</t>
  </si>
  <si>
    <t>CUH, MFG: Indeeco, Model: 922U02000N</t>
  </si>
  <si>
    <t>ELECTRIC BASEBOARD HEATER</t>
  </si>
  <si>
    <t>EBB, MFG: Sterling, Model: LBT-2250</t>
  </si>
  <si>
    <t>EBB, MFG: Sterling, Model: LBT-PD-9250</t>
  </si>
  <si>
    <t>EBB, MFG: Sterling, Model: LBT-PD-6250</t>
  </si>
  <si>
    <t>VRF WALL CASSETTE UNIT</t>
  </si>
  <si>
    <t>WC, MFG: LG, Model: ARNU243SKA4</t>
  </si>
  <si>
    <t>VRF AIR HANDLING UNITS</t>
  </si>
  <si>
    <t>AHU, MFG: LG, Model: ARNU423M3A4</t>
  </si>
  <si>
    <t>AHU, MFG: LG, Model: ARNU073BHA4</t>
  </si>
  <si>
    <t>AHU, MFG: LG, Model: ARNU283M2GA4</t>
  </si>
  <si>
    <t>AHU, MFG: LG, Model: ARNU153BHA4</t>
  </si>
  <si>
    <t>AHU, MFG: LG, Model: ARNU243BHA4</t>
  </si>
  <si>
    <t>AHU, MFG: LG, Model: ARNU183BHA4</t>
  </si>
  <si>
    <t>AHU, MFG: LG, Model: ARNU363M3A4</t>
  </si>
  <si>
    <t>AHU, MFG: LG, Model: ARNU763B8A4</t>
  </si>
  <si>
    <t>AHU, MFG: LG, Model: ARNU543M3A4</t>
  </si>
  <si>
    <t>AHU, MFG: LG, Model: ARNU543M3RA4</t>
  </si>
  <si>
    <t>24" Round Duct W/ 1" Acoustical Lining</t>
  </si>
  <si>
    <t>FIRE PROTECTION</t>
  </si>
  <si>
    <t>FIRE PUMP</t>
  </si>
  <si>
    <t>Building Fire Pump, MFG: Aurora Pump, Model: 4-3839B, 500 GPM</t>
  </si>
  <si>
    <t>Jockey Pump, MFG: Aurora Oump, Model: JP-185-5, 5 GPM</t>
  </si>
  <si>
    <t>PROVIDE ALLOWANCE FOR FIRE PROTECTION SYSTEMS (Piping, Sprinkler, etc)</t>
  </si>
  <si>
    <t>AUDIOVISUAL SYSTEMS</t>
  </si>
  <si>
    <t>EQUPIMENTS &amp; FIXTURES</t>
  </si>
  <si>
    <t>Wall Mounted Antenna Microphone</t>
  </si>
  <si>
    <t>Wall Mounted Antenna, Assistive Listening</t>
  </si>
  <si>
    <t>Button Panel</t>
  </si>
  <si>
    <t>Control Panel</t>
  </si>
  <si>
    <t>Display Back Box Type 1, Box: Chief PAC-526</t>
  </si>
  <si>
    <t>Display Back Box, Type 1, 12" x 12" x 4" Nema 1 Enclosure W/ Oversized Flush Cover</t>
  </si>
  <si>
    <t>Junction Box, 12" x 12" x 4" Nema 1 Enclosure W/ Oversized Flush Cover</t>
  </si>
  <si>
    <t>Junction Box, 6" x 5" x 24: Metal Trough</t>
  </si>
  <si>
    <t>Motor Controller</t>
  </si>
  <si>
    <t>Ceiling Mounted Video Projector Lift</t>
  </si>
  <si>
    <t>Receptacle Panel, 4-Gang Deep Metal Box W/ Cover</t>
  </si>
  <si>
    <t>Receptacle Panel, 2-Gang Deep Metal Box W/ Cover</t>
  </si>
  <si>
    <t>Room Scheduler</t>
  </si>
  <si>
    <t>Ceiling Loudspeaker, Type 2</t>
  </si>
  <si>
    <t>Ceiling Loudspeaker, Type 3</t>
  </si>
  <si>
    <t>Ceiling Loudspeaker, Type 4</t>
  </si>
  <si>
    <t>Ceiling Loudspeaker, Type 5</t>
  </si>
  <si>
    <t>Volume Control W/ Locking Wall Box</t>
  </si>
  <si>
    <t>Ceiling Mounted Video Projector</t>
  </si>
  <si>
    <t>FIRE ALARM</t>
  </si>
  <si>
    <t>SENSORS/DETECTORS</t>
  </si>
  <si>
    <t>Duct Mounted Smoke Detector</t>
  </si>
  <si>
    <t>Alert Alarm Storbe</t>
  </si>
  <si>
    <t>Alert Alarm Speaker &amp; Storbe, Celing Mounted</t>
  </si>
  <si>
    <t>Alert Alarm Speaker &amp; Storbe, Wall Mounted</t>
  </si>
  <si>
    <t>Carbon Monoxide Detector</t>
  </si>
  <si>
    <t>Smoke Detector</t>
  </si>
  <si>
    <t>Heat Detector</t>
  </si>
  <si>
    <t>Flow Switch</t>
  </si>
  <si>
    <t>Monitored Valve</t>
  </si>
  <si>
    <t>Interface Addressable Module for Fire Alarm System</t>
  </si>
  <si>
    <t>Magnetic Door Holder</t>
  </si>
  <si>
    <t>Fire Alarm Annuciator</t>
  </si>
  <si>
    <t>MISC.</t>
  </si>
  <si>
    <t>Generator E-Stop Push Button</t>
  </si>
  <si>
    <t>Data Outlet</t>
  </si>
  <si>
    <t>Wireless Access Point</t>
  </si>
  <si>
    <t>Push Plate For Electric Door Opener</t>
  </si>
  <si>
    <t>Automatic Door Opener</t>
  </si>
  <si>
    <t>Door Hardware Power Supply</t>
  </si>
  <si>
    <t>Electric Latch Retraction</t>
  </si>
  <si>
    <t>Card Reader</t>
  </si>
  <si>
    <t>Door Contact</t>
  </si>
  <si>
    <t>Motion Detector</t>
  </si>
  <si>
    <t>Security Control Keypad</t>
  </si>
  <si>
    <t>DOOR OPERATING SYSTEMS/SECURITY</t>
  </si>
  <si>
    <t>Aiphone Video Intercom Master Station</t>
  </si>
  <si>
    <t>Aiphone Video Intercom Station</t>
  </si>
  <si>
    <t>CCTV CAMERA</t>
  </si>
  <si>
    <t>Pull Station</t>
  </si>
  <si>
    <t>Mullion Mounted Card Reader</t>
  </si>
  <si>
    <t>LIGHTING FIXTURE</t>
  </si>
  <si>
    <t>Alert Alarm Speaker</t>
  </si>
  <si>
    <t>WALLS</t>
  </si>
  <si>
    <t>Fire Extinguisher Cabinets</t>
  </si>
  <si>
    <t>ELEVATOR</t>
  </si>
  <si>
    <t>Elevator W/ All Equipments</t>
  </si>
  <si>
    <t>3" SAFB</t>
  </si>
  <si>
    <t>Air Vapor barrier</t>
  </si>
  <si>
    <t>3/4" Sheathing</t>
  </si>
  <si>
    <t>Wissahikon Schist Veneer Masonary</t>
  </si>
  <si>
    <t>Drainage Board</t>
  </si>
  <si>
    <t>2" Rigid Insulation</t>
  </si>
  <si>
    <t>Batt Insulation</t>
  </si>
  <si>
    <t>6" CFMF</t>
  </si>
  <si>
    <t>8" CFMF</t>
  </si>
  <si>
    <t>Brick Masonry</t>
  </si>
  <si>
    <t>Fiber Cement Lap Siding</t>
  </si>
  <si>
    <t>Furring for Lapsiding</t>
  </si>
  <si>
    <t>Fiber Cement Panel, Hardie Reveal Panel System</t>
  </si>
  <si>
    <t>5/8" Cover Board</t>
  </si>
  <si>
    <t>EPDM Membrane Roofing</t>
  </si>
  <si>
    <t>3-5/8" Metal Studs @16" O.C.</t>
  </si>
  <si>
    <t>Poultry Netting</t>
  </si>
  <si>
    <t>6" Metal Studs @16" O.C.</t>
  </si>
  <si>
    <t>6" SAFB</t>
  </si>
  <si>
    <t>CMU WALL</t>
  </si>
  <si>
    <t>1" Gypsum Board Panel</t>
  </si>
  <si>
    <t>2-1/2" C-H Studs @24" O.C.</t>
  </si>
  <si>
    <t>4" C-H Studs @24" O.C.</t>
  </si>
  <si>
    <t>SF</t>
  </si>
  <si>
    <t>Simulated Slate Shingle</t>
  </si>
  <si>
    <t>5/8" Cover Board Type 'X'</t>
  </si>
  <si>
    <t>Air Vapor Barrier</t>
  </si>
  <si>
    <t>5/8" Substrate board, Type 'X'</t>
  </si>
  <si>
    <t>6" Rigid Insulation</t>
  </si>
  <si>
    <t>2" Architectural Pavers</t>
  </si>
  <si>
    <t>Adjustable Height Pedastal</t>
  </si>
  <si>
    <t>Hot Fluid Applied Asphalt &amp; Protection Layer</t>
  </si>
  <si>
    <t>Drain Layer</t>
  </si>
  <si>
    <t>SIMULATED SLATE ROOF</t>
  </si>
  <si>
    <t>MEMBRANE ROOF ASSEMBLY</t>
  </si>
  <si>
    <t>PEDESTAL PAVER ROOF</t>
  </si>
  <si>
    <t>PLANTED ROOF</t>
  </si>
  <si>
    <t>8" Extensive Growing Medium (min.)</t>
  </si>
  <si>
    <t>System Filter</t>
  </si>
  <si>
    <t>STANDING SEAM METAL ROOF</t>
  </si>
  <si>
    <t>Standing Seam Metal Panel</t>
  </si>
  <si>
    <t>Moisture Barrier</t>
  </si>
  <si>
    <t>5/8" Substrate Board Type 'X'</t>
  </si>
  <si>
    <t>EXTERIOR</t>
  </si>
  <si>
    <t>Integral Metal Gutter</t>
  </si>
  <si>
    <t>Snow Guards</t>
  </si>
  <si>
    <t>Roof Top Enclosure Screen</t>
  </si>
  <si>
    <t>BASE</t>
  </si>
  <si>
    <t>CEILING</t>
  </si>
  <si>
    <t>FLOOR</t>
  </si>
  <si>
    <t>COUNTERTOP</t>
  </si>
  <si>
    <t>EGD Custom Graphic</t>
  </si>
  <si>
    <t>Carpet, MFG: Tandus, Style/Color: GEOKNIT #10887 WITH POWERBOUND CUSHION | COLOR: SHADOW GRIS #42710 | SIZE: 6'W ROLL X .187" THK</t>
  </si>
  <si>
    <t>Solid Vinyl Tile, MFG: Johnsonite/Tarkett, Styele/Color: IQ OPTIMA | COLOR: COBALT SMOKE | SIZE: 24" X 24" X 2MM THK -</t>
  </si>
  <si>
    <t>Slep Resistant Sheet Vinyl, MFG: Polyflor, Style/Color: QUATTRO PUR | COLOR: COASTAL FLINT | ROLL SIZE: 20M W X 2MM THK</t>
  </si>
  <si>
    <t>Rubber Sheet, MFG: Plae</t>
  </si>
  <si>
    <t>Rubber Tread W/ Integrated Riser, MFG: Johnsonite/Tarkett, Style/Color: BIRNSQTR | TEXTURE: RAISED SQUARE | SIZE: 1/8" THK | COLOR: TBD | GRIT TAPE COLOR: BLACK</t>
  </si>
  <si>
    <t>Rubber Tile, MFG: Johnsonite/Tarkett, Style/Color: TEXTURE: RAISED SQUARE | SIZE: 24" X 24" X 1/8" THK | COLOR: TBD</t>
  </si>
  <si>
    <t>Rubber Sheet, MFG: Plae, Style/Color: ACHIEVE | COLOR: CHARCOAL #905 | SHEET SIZE: 4'W X 25'L X 18MM THK</t>
  </si>
  <si>
    <t>Vinyl Sheet, MFG: Ecore, Style/Color: FOREST RX | SIZE: 6' W X 30'L X .28" THK | COLOR: AMERICAN OAK</t>
  </si>
  <si>
    <t>Sealed Concrete</t>
  </si>
  <si>
    <t>Porcelain Tile, MFG: Marco Carona, Style/Color: STONE ONE | COLOR: DARK NATURAL | SIZE 24" X 24" X 3/8" THK | GROUT COLOR: TBD</t>
  </si>
  <si>
    <t>Porcelain Tile, MFG: Marco Carona, Style/Color: STONE ONE SCALINO | COLOR: DARK NATURAL | SIZE 13" X 24"  RECT.</t>
  </si>
  <si>
    <t>Wood Sports Floor, MFG: Aacer, Style/Color: POWER LOC FSC MFMA MAPLE FLOORING WITH 1/2" DIMENSIONAL PINE SUBFLOOR &amp; PRE-ENGINEERED PLYWOOD SLEEPERS AND RESILIENT PADS | SIZE: 2 1/4" W X 25/32" THK 2 1/4" | TOTAL SYSTEM THICKNESS: 2 7/8"</t>
  </si>
  <si>
    <t>Artificial Turf, MFG: Plae, Style/Color: ATTACK | COLOR: GREEN W/ WHITE CUSTOM LINES | SIZE: 15'W ROLL X 19.05MM THK W/ 5MM FOAM UNDERLAYMENT | TOTAL SYSTEM THICKNESS: 24.05MM</t>
  </si>
  <si>
    <t>Climbing Floor</t>
  </si>
  <si>
    <t>Walk off Mat, MFG: Construction Specialities, Style/Color: PEDITRED LP G3, SIZE: 1/2" THK | GRID COLOR: POWDERCOAT BLACK | HEAVY DUTY CARPET TREAD INSERT, COLOR: PEWTER</t>
  </si>
  <si>
    <t>Rubber Base, MFG: Johnsonite, Style/Color: BASEWORKS THERMOSET RUBBER BASE | COLOR: TBD | SIZE: 6" H | PROFILE: STRAIGHT W/ CARPET FLOOR, COVE W/ RESILIENT FLOOR</t>
  </si>
  <si>
    <t>Rubber Base, MFG: Johnsonite, Style/Color: BASEWORKS THERMOSET RUBBER BASE | COLOR: TBD | SIZE: 4" H | PROFILE: STRAIGHT W/ CARPET FLOOR, COVE W/ RESILIENT FLOOR</t>
  </si>
  <si>
    <t>Integral Cove Base, MFG: Polyflor, Style/Color: SIZE: 6"H</t>
  </si>
  <si>
    <t>Tile Base, MFG: Marco Carona, Style/Color: STONE ONE | COLOR: DARK NATURAL | SIZE: 3" X 24" | GROUT COLOR: TBD</t>
  </si>
  <si>
    <t>Paint, MFG: Sherwin Williams, COLOR: SW7003 TOQUE WHITE</t>
  </si>
  <si>
    <t>EPOXY PAINT, MFG: SHERWIN WILLIAMS COLOR: SW7003 TOQUE WHITE</t>
  </si>
  <si>
    <t>PAINT, MFG: SCUFFMASTERS, Style/Color: SCRUBTOUGH ARMOR | CUSTOM COLOR: GOH12487726</t>
  </si>
  <si>
    <t>White Board Paint, MFG: Wolf Gordon, WINK WHITE BOARD PAINT FINISH | BASE COLOR: SW7003 TOQUE WHITE</t>
  </si>
  <si>
    <t>White Board Paint, MFG: Wolf Gordon, WINK WHITE BOARD PAINT FINISH | BASE COLOR: SW6809 LOBELIA</t>
  </si>
  <si>
    <t>ACCENT PAINT (MEDIUM BLUE), MFG: SHERWIN WILLIAMS, COLOR: SW6809 LOBELIA</t>
  </si>
  <si>
    <t>ACCENT PAINT (DARK BLUE), MFG: SHERWIN WILLIAMS, COLOR: SW6530 REVEL BLUE</t>
  </si>
  <si>
    <t>ACCENT PAINT (LIGHT BLUE), MFG: SHERWIN WILLIAMS, COLOR: SW6528 COSMOS</t>
  </si>
  <si>
    <t>ACCENT PAINT (GRAY), MFG: SHERWIN WILLIAMS, COLOR: SW7075 WEB GRAY</t>
  </si>
  <si>
    <t>PAINT, MFG: SCUFFMASTERS, STYLE/COLOR: SCRUBTOUGH | CUSTOM COLOR TO MATCH SW7003 TOQUE WHITE</t>
  </si>
  <si>
    <t>PORCELAIN TILE (WHITE), MFG: DALTILE, STYLE/COLOR: NATURAL HUES | SIZE: 2" X 8" X 5/16" THK | COLOR: QH63 PEARL WHITE | EPOXY GROUT, COLOR: TBD</t>
  </si>
  <si>
    <t>PORCELAIN TILE, MFG: MOHAWK TILE, STYLE/COLOR: MFR: IMOLA CERAMICA | STYLE: PLAY | COLOR: PLAY 26DL (DARK BLUE) | SIZE: 8" X 24</t>
  </si>
  <si>
    <t>PORCELAIN TILE, MFG: MOHAWK TILE, STYLE/COLOR: MFR: IMOLA CERAMICA | STYLE: PLAY | COLOR: PLAY 26W (WHITE) | SIZE: 8" X 24"</t>
  </si>
  <si>
    <t>PORCELAIN TILE, MFG: STONE SOURCE, STYLE/COLOR: TECHNICOLOR | SIZE: 2" X 15" X 10MM THK | COLOR: 20% TC17, 80% TC18 | EPOXY GROUT, COLOR: TBD</t>
  </si>
  <si>
    <t>IMPACT ACOUSTICAL WALL PANELS, MFG:  KOROSEAL, STYLE/COLOR: SOUND DESIGNS IMPACT PERFORMANCE SERIES | SIZE: 2 1/16" THK | FABRIC: MAHARAM TEK WALL
LUMEN, COLOR: NURSERY</t>
  </si>
  <si>
    <t>ACOUSTICAL WALL PANELS,MFG: DECOUSTICS, STYLE/COLOR: CLARO | SIZE: 1 1/16" THK, REFER TO ELEVATIONS FOR SIZING | COLOR: WHITE</t>
  </si>
  <si>
    <t>STAINLESS STEEL WALL PANELS - ELEV. STANDARD FINISH</t>
  </si>
  <si>
    <t>TACKABLE SURFACE, MFG: CAPRI COLLECTIONS, STYLE/COLOR: AND/OR RUBBER CORK | ROLL SIZE: 4' W X 3.2MM THK | COLOR: CLOUDBURST AD1008</t>
  </si>
  <si>
    <t>PERFORATED GYPSUM PANELS, MFG: CERTAINTEED SAINT-GOBAIN</t>
  </si>
  <si>
    <t>ACOUSTICAL WALL PANELS, MFG: KOROSEAL, STYLE/COLOR: SOUND DESIGNS PERFORMANCE PLUS SERIES | SIZE: 2-1/8" THK | FABRIC: MAHARAM, MANNER 466177, COLOR: 031 SMOKEY</t>
  </si>
  <si>
    <t>CUSTOM ETCHED GLASS PANELS</t>
  </si>
  <si>
    <t>ACOUSTICAL CEILING TILE, MFG: ARMSTRONG, STYLE/COLOR: OPTIMA HEALTH ZONE #3214PB | TILE SIZE: 24" X 24" | SUPRAFINE GRID SIZE: 9/16" | COLOR: WHITE</t>
  </si>
  <si>
    <t>ACOUSTICAL CEILING TILE, MFG: ARMSTRONG, STYLE/COLOR: OPTIMA TEGULAR #3251 | TILE SIZE: 24" X 24" | SUPRAFINE GRID SIZE: 9/16" | COLOR: WHITE</t>
  </si>
  <si>
    <t>ACOUSTICAL CEILING TILE, MFG: ARMSTRONG, STYLE/COLOR: OPTIMA TEGULAR #3290 | TILE SIZE: 12" X 48" | SUPRAFINE GRID SIZE: 9/16" | COLOR: WHITE</t>
  </si>
  <si>
    <t>5/8" Gypsum Board, Paint: SHERWIN WILLIAMS COLOR: SW7757 HIGH REFLECTIVE WHITE</t>
  </si>
  <si>
    <t>Gypsum Board, Epoxy Painted, SHERWIN WILLIAMS, COLOR: SW7757 HIGH REFLECTIVE WHITE</t>
  </si>
  <si>
    <t>Linear Wood Ceiling, MFG: RULON, STYLE/COLOR: ALURATONE A750 .55MM PERFORATIONS ON STAGGERED CENTERS | SIZE: 5" W X 8' L TONGUE AND GROOVE PLANKS | GRAIN AND GROOVE DIRECTION TO FOLLOW LENGTH OF PLANK</t>
  </si>
  <si>
    <t>Linear Wood Ceiling, MFG: RULON, STYLE/COLOR: PANELIZED LINEAR OPEN STYLE | SIZE: 6" SYSTEM, 5 1/4" W BOARD X 120" L BOARD X 3/4" THK BOARD | WOOD SPECIES: WHITE OAK</t>
  </si>
  <si>
    <t>ACOUSTICAL CEILING PANEL, MFG: ARMSTRONG</t>
  </si>
  <si>
    <t>SOLID SURFACE, MFG: CORIAN, COLOR: MODERN WHITE | THICKNESS: 2 CM</t>
  </si>
  <si>
    <t>QUARTZ CORIAN, MFG: QUARTZ, COLOR: SNOW WHITE | THICKNESS: 3 CM</t>
  </si>
  <si>
    <t>WALL PROTECTION, MFG: ALTRO WHITEROCK | SIZE: 4' X 10' X 2.5 MM THICK | COLOR: #41 CREAM/LINEN</t>
  </si>
  <si>
    <t>WHITE BOARD WALL PROTECTION, MFG: ALTRO WHITEROCK WHITEBOARD | SIZE: 4' X 10' X 2.5MM THK</t>
  </si>
  <si>
    <t>WALL PADS, MFG: MANCINO MANUFACTURING, 110-200 FIXED WALL PADDING | SIZE: 2' W X 2" THK | COLOR: ROYAL BLUE</t>
  </si>
  <si>
    <t>PAINTED EXPOSED STRUCTURE, SHERWIN WILLIAMS COLOR: SW7757 HIGH REFLECTIVE WHITE</t>
  </si>
  <si>
    <t>TOILET PARTITIONS, MFG: SCRANTON PRODUCTS, STYLE/COLOR: HINY HIDER HDPE FLOOR MOUNTED OVERHEAD BRACED PARTITIONS | SIZE: 55" STANDARD | COLOR: CHARCOAL GREY</t>
  </si>
  <si>
    <t>TOILET PARTITIONS, MFG:  SCRANTON PRODUCTS, STYLE/COLOR: ARIA HDPE PARTITIONS W/ NO TRANSOM PANEL | SIZE: 86" H, DIVIDER PARTITION RAISED 3" AFF TYP., PROVIDE 9" AFF @ ADA STALL | DOOR DESIGN: TRADITIONAL 1000, SIDE PANEL: STANDARD, COLOR: CHARCOAL GREY | STANDARD TRIM 3"H X 1/2" THK, COLOR: CHARCOAL GREY</t>
  </si>
  <si>
    <t>SHOWER &amp; DRESSING COMPARTMENTS, MFG: SCRANTON
PRODUCTS, STYLE/COLOR: FLOOR-MOUNTED OVERHEAD BRACED, CONTINUOUS ALUMINUM BRACKETS WITHOUT DOORS, NARROW PILASTER WITH SHOWER CURTAIN HEADRAIL | COLOR: CHARCOAL GRAY | SIZE: DIVIDER PARTITION RAISED 3" AFF TYP., PROVIDE 9" AFF @ ADA SHOWER COMPARTMENT</t>
  </si>
  <si>
    <t>SHOWER &amp; DRESSING COMPARTMENTS, MFG: SCRANTON PRODUCTS, STYLE/COLOR: ARIA HDPE PARTITIONS W/ NO RANSOM PANEL | SIZE: 86" H, DIVIDER PARTITION RAISED 3" AFF TYP., PROVIDE 9" AFF @ ADA STALL | DOOR DESIGN: RADITIONAL 1000, SIDE PANEL: STANDARD,
COLOR: CHARCOAL GREY | STANDARD TRIM 3"H X 1/2" THK, COLOR: CHARCOAL GREY</t>
  </si>
  <si>
    <t>Motorized Roller Shades</t>
  </si>
  <si>
    <t>Manual Roller Shades</t>
  </si>
  <si>
    <t>Benches</t>
  </si>
  <si>
    <t>Lockers</t>
  </si>
  <si>
    <t>MILLWORK</t>
  </si>
  <si>
    <t>Wall Cabinets</t>
  </si>
  <si>
    <t>Base Cabinets</t>
  </si>
  <si>
    <t>Stained Wood Veneer</t>
  </si>
  <si>
    <t>DEMOLITION</t>
  </si>
  <si>
    <t>SITE WORK</t>
  </si>
  <si>
    <t>TONS</t>
  </si>
  <si>
    <t>Extension in Staggered Blustone Stairs Tread</t>
  </si>
  <si>
    <t>EXCAVATION</t>
  </si>
  <si>
    <t>Total Excavation for building</t>
  </si>
  <si>
    <t>CUT &amp; FILL</t>
  </si>
  <si>
    <t>Cut</t>
  </si>
  <si>
    <t>Fill</t>
  </si>
  <si>
    <t>CY</t>
  </si>
  <si>
    <t>2.5" Steel Pipe</t>
  </si>
  <si>
    <t>12" Reinforced Concrete Pipe</t>
  </si>
  <si>
    <t>15" Reinforced Concrete Pipe</t>
  </si>
  <si>
    <t>21" Reinforced Concrete Pipe</t>
  </si>
  <si>
    <t>8" HDPE (High-density polyethylene)</t>
  </si>
  <si>
    <t>6" HDPE (High-density polyethylene)</t>
  </si>
  <si>
    <t>10" CIP (Cured-in Place)</t>
  </si>
  <si>
    <t>8" CIP (Cured-in Place)</t>
  </si>
  <si>
    <t>6" CIP (Cured-in Place)</t>
  </si>
  <si>
    <t>4" CIP (Cured-in Place)</t>
  </si>
  <si>
    <t>STROM STRUCTURES</t>
  </si>
  <si>
    <t>OTS; Outlet Structure</t>
  </si>
  <si>
    <t>INL; Inlet Structure</t>
  </si>
  <si>
    <t>STMH; Manhole, 4' Inside Dia.</t>
  </si>
  <si>
    <t xml:space="preserve">STMH; Manhole, 6'-6" x 6'-6" </t>
  </si>
  <si>
    <t>EROSION &amp; SEDIMENT CONTROL</t>
  </si>
  <si>
    <t>Rock Construction Entrance; RIPRAP</t>
  </si>
  <si>
    <t>Tree Protection Fencing</t>
  </si>
  <si>
    <t>LANDSCAPING</t>
  </si>
  <si>
    <t>SHADBLOW SERVICEBERRY</t>
  </si>
  <si>
    <t>SCARLET SENTINEL FREEMAN MAPLE</t>
  </si>
  <si>
    <t>RED SUNSET MAPLE</t>
  </si>
  <si>
    <t>BOWHALL RED MAPLE</t>
  </si>
  <si>
    <t>MULTI-STEM RED MAPLE</t>
  </si>
  <si>
    <t>AMERICAN HORNBEAM</t>
  </si>
  <si>
    <t>APPALACHIAN SPRING FLOWERING DOGWOOD</t>
  </si>
  <si>
    <t>TULIP POPLAR</t>
  </si>
  <si>
    <t>WILDFIRE BLACK GUM</t>
  </si>
  <si>
    <t>AMERICAN HOPHORNBEAM</t>
  </si>
  <si>
    <t>PIN OAK</t>
  </si>
  <si>
    <t>WHITE OAK</t>
  </si>
  <si>
    <t>SWAMP WHITE OAK</t>
  </si>
  <si>
    <t>GREENSPIRE LINDEN</t>
  </si>
  <si>
    <t>SASSAFRAS</t>
  </si>
  <si>
    <t>PRINCETON ELM</t>
  </si>
  <si>
    <t>BRACKEN'S BROWN BEAUTY SOUTHERN MAGNOLIA</t>
  </si>
  <si>
    <t>NEW JERSEY TEA</t>
  </si>
  <si>
    <t>BUD'S YELLOW TWIG DOGWOOD</t>
  </si>
  <si>
    <t>SNOW QUEEN OAKLEAF HYDRANGEA</t>
  </si>
  <si>
    <t>OTTO LUYKEN CHERRY LAUREL</t>
  </si>
  <si>
    <t>GRO LOW DWARF FRAGRANT SUMAC</t>
  </si>
  <si>
    <t>ROSEUM ELEGANS RHODODENDRON</t>
  </si>
  <si>
    <t>DWARF HIMALAYAN SWEETBOX</t>
  </si>
  <si>
    <t>HONORINE JOBERT HYBRID ANEMONE</t>
  </si>
  <si>
    <t>COMMON MILKWEED</t>
  </si>
  <si>
    <t>RAYDON'S FAVORITE ASTER</t>
  </si>
  <si>
    <t>EASTERN BLUESTAR</t>
  </si>
  <si>
    <t>WHITE CLOUD CALAMINT</t>
  </si>
  <si>
    <t>PENNSYLVANIA SEDGE</t>
  </si>
  <si>
    <t>GOLDTAU TUFTED HAIR GRASS</t>
  </si>
  <si>
    <t>MAGNUS PURPLE CONEFLOWER</t>
  </si>
  <si>
    <t>AUTUMN BRIDE HEUCHERA</t>
  </si>
  <si>
    <t>BIG BLUE LILY TURF</t>
  </si>
  <si>
    <t>CHRISTMAS FERN</t>
  </si>
  <si>
    <t>SILVERVEIN CREEPER</t>
  </si>
  <si>
    <t>BLUE MOON WOODLAND PHLOX</t>
  </si>
  <si>
    <t>GOLDEN FLEECE GOLDENROD</t>
  </si>
  <si>
    <t>STANDING OVATION LITTLE BLUESTEM</t>
  </si>
  <si>
    <t>SHOWY NORTHEAST NATIVE WILDFLOWER &amp; GRASS MIX</t>
  </si>
  <si>
    <t>UTILITY SERVICES</t>
  </si>
  <si>
    <t>STORM WATER PIPING</t>
  </si>
  <si>
    <t>10" Cast in Place, Sanitary Sewer</t>
  </si>
  <si>
    <t>4" DIP, Sanitary force main</t>
  </si>
  <si>
    <t>DOORS</t>
  </si>
  <si>
    <t>STOREFRONT</t>
  </si>
  <si>
    <t>9'-5" x 12'-0" Interior Glazed Frame</t>
  </si>
  <si>
    <t>6'-8 3/8" x 9'-0" Interior Glazed Frame</t>
  </si>
  <si>
    <t>12'-4 5/8" x 9'-0" Interior Glazed Frame</t>
  </si>
  <si>
    <t>8'-8 1/2" x 9'-6" Interior Glazed Frame</t>
  </si>
  <si>
    <t>12'-8" x 10'-0" 1-HR Fire Rated Frame &amp; Glazing Assembly</t>
  </si>
  <si>
    <t>6'-7 3/4" x 10'-0" 1-HR Fire Rated Frame &amp; Glazing Assembly</t>
  </si>
  <si>
    <t>13'-6" x 9'-0" Interior Glazed Frame</t>
  </si>
  <si>
    <t>15'-0" x 8'-8" Interior Glazed Frame</t>
  </si>
  <si>
    <t>15'-7" x 9'-6" Interior Glazed Frame</t>
  </si>
  <si>
    <t>8'-7" x 9'-6" Interior Glazed Frame</t>
  </si>
  <si>
    <t>10'-2" x 9'-0" Interior Glazed Frame</t>
  </si>
  <si>
    <t>CURTAIN WALL</t>
  </si>
  <si>
    <t>Partition Sensor</t>
  </si>
  <si>
    <t>LED Remote Driver</t>
  </si>
  <si>
    <t>22" ROUND DECORATIVE ENCLOSED LED HIGH BAY FIXTURE AND EXPOSED HEAT SINK, MFG: KENALL, Model: EPHB-22-U1-PM-CP-GW-224L-40K8-DCC-DV, 235W</t>
  </si>
  <si>
    <t>4'  X  4" APERTURE RECESSED LINEAR LED FIXTURE, MFG: FINELITE, MODEL: HP-4R-4-B-840-F-277V-SC-XX, 18.4W</t>
  </si>
  <si>
    <t>6'  X  4" APERTURE RECESSED LINEAR LED FIXTURE, MFG: FINELITE, MODEL: HP-4R-4-B-840-F-277V-SC-XX, 27.6W</t>
  </si>
  <si>
    <t>8'  X  4" APERTURE RECESSED LINEAR LED FIXTURE, MFG: FINELITE, MODEL: HP-4R-4-B-840-F-277V-SC-XX, 36.8W</t>
  </si>
  <si>
    <t>12'  X  4" APERTURE RECESSED LINEAR LED FIXTURE, MFG: FINELITE, MODEL: HP-4R-4-B-840-F-277V-SC-XX, 55.2W</t>
  </si>
  <si>
    <t>2’ X 2’ HIGH PERFORMANCE RECESSED LED LIGHTING FIXTURE, MFG: COLUMBIA, MODEL: LCAT22-40MLG-R-EDU, 29W</t>
  </si>
  <si>
    <t>2’ X 4’ HIGH PERFORMANCE RECESSED LED LIGHTING FIXTURE, MFG: COLUMBIA, MODEL: LCAT24-40MLG-R-EDU, 36W</t>
  </si>
  <si>
    <t>CHANGEL LIGHT FIXTURE WITH AIMABLE LED FIXTURE HEADS IN VARYING BEAM DISTRIUTION, MFG: COLUMBIA, MODEL: LCAT14-40MLG-R-EDU, 32W</t>
  </si>
  <si>
    <t>4' LED STRIP LIGHT FIXTURE WITH ACRYLIC FORMED DIFFUSER AND HEAVY DUTY DIE FORMED STEEL CHANNEL WITH WHITE BAKED ENAMEL PAINT AND PAINTED AFTER FABRICATION, MFG: COLUMBIA, MODEL: LCL4-40LW-EU-PAF, 19W</t>
  </si>
  <si>
    <t>8' LED STRIP LIGHT FIXTURE WITH ACRYLIC FORMED DIFFUSER AND HEAVY DUTY DIE FORMED STEEL CHANNEL WITH WHITE BAKED ENAMEL PAINT AND PAINTED AFTER FABRICATION, MFG: COLUMBIA, MODEL: LCL8-40LW-EU-PAF, 170W</t>
  </si>
  <si>
    <t>16" ROUND DECORATIVE ENCLOSED LED HIGH BAY FIXTURE AND EXPOSED HEAT SINK, MFG: KENALL, Model: EPHB-16-U1-PM-CP-GW-224L-40K8-DCC-DV, 134W</t>
  </si>
  <si>
    <t>EXIT SIGN W/ LAMPS, MFG: DUAL LITE, MODEL: LE-X--X-R-X-X-A-M, 3.4W</t>
  </si>
  <si>
    <t>EXIT SIGN W/ LETTER, MFG: DUAL LITE, MODEL: LXURW, 0.7W</t>
  </si>
  <si>
    <t>EMERGENCY BATTERY BACK-UPLIGHTING UNIT, MFG: DUAL LITE, MODEL: LZ-2-03L, 14W</t>
  </si>
  <si>
    <t>DIE-CAST ALUMINUM WITH AC POWERED LED EXIT SIGN WITH RED LETTERS, MFG: DUAL LITE, MODEL: SEWL-S-R-X, 2.1W</t>
  </si>
  <si>
    <t>6" ROUND LED RECESSED DOWNLIGHT, MFG: PRESCOLITE, MODEL: LC6SL-6LCSL-10L-40K-8-WH-WT-B6, 13.5W</t>
  </si>
  <si>
    <t>6" ROUND LED RECESSED DOWNLIGHT, MFG: PRESCOLITE, MODEL: LC6SL-6LCSL-10L-40K-8-WH-WT-B6, 22.3W</t>
  </si>
  <si>
    <t>4'  X  4" APERTURE RECESSED LINEAR LED  FIXTURE, MFG: FINELITE, MODEL: HP-4R-4-B-840-F-277V-SC-SF, 18.4W</t>
  </si>
  <si>
    <t>32'  X  4" APERTURE RECESSED LINEAR LED  FIXTURE, MFG: FINELITE, MODEL: HP-4R-32-B-840-F-277V-SC-SF, 147.2W</t>
  </si>
  <si>
    <t>24'  X  4" APERTURE RECESSED LINEAR LED  FIXTURE, MFG: FINELITE, MODEL: HP-4R-24-B-840-F-277V-SC/EM/GEN-SF, 110.4W</t>
  </si>
  <si>
    <t>32'  X  4" APERTURE RECESSED LINEAR LED  FIXTURE, MFG: FINELITE, MODEL: HP-4R-32-B-840-F-277V-SC/EM/GEN-SF, 147.2W</t>
  </si>
  <si>
    <t>3-7/16"H X 2-5/8"W X 4'L ARCHETECTURAL PENDANT LED FIXTURE, NFG: HE WILLIAMS, MODEL: LLM-4-L41/840-S-SQ-AC/XXX-DRV -UNV, 41W</t>
  </si>
  <si>
    <t>6” X 4’ WALL MOUNT LED STAIRWELL LIGHTING FIXTURE WITH INTEGRAL FIXTURE MOUNT PASSIVE INFRARED (PIR) OCCUPANCY SENSOR, MFG: COLUMBIA LIGHTING, MODEL: LBIL-4-40-LW-ED-U, 24W</t>
  </si>
  <si>
    <t>1' x 4' LED FLAT PANEL FIXTURE, MFG: COLUMBIA LIGHTING, MODEL: CFP14-4040 FK14, 39W</t>
  </si>
  <si>
    <t>2' X 2' LED FLAT PANEL FIXTURE, MFG: COLUMBIA LIGHTING, MODEL: CFP22-3340 , 32W</t>
  </si>
  <si>
    <t>17" DIAMETER ROUND LED SURFACE FIXTURE, MFG: KENALL, MODEL: MR17FFR-NL-PP-XX-25L40K-DV, 29W</t>
  </si>
  <si>
    <t>VAPORTITE LED GLOBE FIXTURE WITH FROSTED GLASS LENS, MFG: HUBBELL, MODEL: VWGL-1, 11W</t>
  </si>
  <si>
    <t>RECTANGULAR PENDANT MOUNTED DIRECT/INDIRECT LED FIXTURE, MFG: FINELITE, MODEL: S16 LED ID-8'-4E-B-840-30U70D-227V-DC-FA-FE-XX, 69.6W</t>
  </si>
  <si>
    <t>4"X80' PENDANT MOUNT DIRECT ARCHITECTURAL LED  FIXTURE, MFG: FINELITE, MODEL: HP-4 D-80'-H-840-F-277V-FA-SC/EM/GEN-XX, 568W</t>
  </si>
  <si>
    <t>LINEAR LED DISPLAY FIXTURE, MFG: LUMINII,MODEL: ZO-XX" -41K -HO-F-XX-FX, DRIVER: PS010V-3X96-24-LIN, 156W/FT</t>
  </si>
  <si>
    <t>22" ROUND DECORATIVE ENCLOSED LED LOW BAY FIXTURE, MFG: KENALL, MODEL: EPLB-22-O-CA-GW-192L-40K8-DCC-DV, 209W</t>
  </si>
  <si>
    <t>22" ROUND DECORATIVE ENCLOSED LED LOW BAY FIXTURE, MFG: KENALL, MODEL: EPLB-22-O-CA-GW-192L-40K8-DCC-DV, 106W</t>
  </si>
  <si>
    <t>16" ROUND DECORATIVE ENCLOSED LED LOW BAY FIXTURE, MFG: KENALL, MODEL: EPLB-16-O-CA-GW-192L-40K8-DCC-DV, 210W</t>
  </si>
  <si>
    <t>6"X12' PENDANT MOUNT DIRECT ARCHITECTURAL LED  FIXTURE WITH ENHANCED OUTPUT, MFG: FINELITE,MODEL: HP-6-EO-D-12'-X-840-F-277V-FA-SC/GEN-XX, 21.1W/FT</t>
  </si>
  <si>
    <t>6' LONG, 5" W X 1-5/16"H LED UNDERCABINET LIGHT, MFG: AIREY-THOMPSON, MODEL: 13L-N-40K-XX-2-X-SWD, 4.4W/FT</t>
  </si>
  <si>
    <t>13' LONG, 5" W X 1-5/16"H LED UNDERCABINET LIGHT, MFG: AIREY-THOMPSON, MODEL: 13L-N-40K-XX-2-X-SWD, 4.4W/FT</t>
  </si>
  <si>
    <t>CHANGEL LIGHT FIXTURE WITH AIMABLE LED FIXTURE HEADS IN VARYING BEAM DISTRIUTION, MFG: LF ILLUMINATION, MODEL: EF4-D-N-S-30'-CC,
EF4-D-N-S-30'-CC
#1-TYPE W1 HEADS:  EFX08D41C8040W
#6-TYPE W2 HEADS:  EFX08D34C8040W, 251.8W</t>
  </si>
  <si>
    <t>CHANGEL LIGHT FIXTURE WITH AIMABLE LED FIXTURE HEADS IN VARYING BEAM DISTRIUTION, MFG: LF ILLUMINATION, MODEL: EF4-D-N-S-30'-CC,
EF4-D-N-S-30'-CC
#3-TYPE M HEADS: EFX08D41C8040M
#2-TYPE W1:  EFX08D41C8040W, 208W</t>
  </si>
  <si>
    <t>CHANGEL LIGHT FIXTURE WITH AIMABLE LED FIXTURE HEADS IN VARYING BEAM DISTRIUTION, MFG: LF ILLUMINATION, MODEL: EF4-D-N-S-30'-CC,
EF4-D-N-S-18'-CC
#2-TYPE M HEADS: EFX08D41C8040M
#3-TYPE W1:  EFX08D41C8040W, 208W</t>
  </si>
  <si>
    <t>CHANGEL LIGHT FIXTURE WITH AIMABLE LED FIXTURE HEADS IN VARYING BEAM DISTRIUTION, MFG: LF ILLUMINATION, MODEL: EF4-D-N-S-18'-CC,
EF4-D-N-S-18'-CC
#3-TYPE M HEADS: EFX08D41C8040M
#2-TYPE W1:  EFX08D41C8040W, 207.5W</t>
  </si>
  <si>
    <t>CHANGEL LIGHT FIXTURE WITH AIMABLE LED FIXTURE HEADS IN VARYING BEAM DISTRIUTION, MFG: LF ILLUMINATION, MODEL: EF4-D-N-S-30'-CC,
#8-TYPE M HEADS: EFX08D41C8040M, 330.4</t>
  </si>
  <si>
    <t>8' LONG WALL MOUNT INDIRECT ARCHITECTURAL LED FIXTURE, MFG: FINELITE, MODEL: HP-2 WM I -12'-V-8XX-F-277V-MB-SC, 9.2W/FT</t>
  </si>
  <si>
    <t>16' LONG WALL MOUNT INDIRECT ARCHITECTURAL LED FIXTURE, MFG: FINELITE, MODEL: HP-2 WM I -16'-V-8XX-F-277V-MB-SC, 9.2W/FT</t>
  </si>
  <si>
    <t>21' LONG WALL MOUNT INDIRECT ARCHITECTURAL LED FIXTURE, MFG: FINELITE, MODEL: HP-2 WM I -21'-V-8XX-F-277V-MB-SC, 9.2W/FT</t>
  </si>
  <si>
    <t>DECORATIVE SURFACE LINEAR LED FIXTURE, MFG: BIRCHWOOD, MODEL: NOL-LED-325-CLO300-40-4'-CUP-FW-277-D10-SM, 50.4W</t>
  </si>
  <si>
    <t>37.25" WIDE X 2.5" DEEP WALL/MULLION MOUNT DIRECT ARCHITECTURAL LED FIXTURE, MFG: VISA, MODEL: OW2480L40K-H-MVOLTFTXX DS, 40W</t>
  </si>
  <si>
    <t>72" WIDE X 2.5" DEEP WALL/MULLION MOUNT DIRECT ARCHITECTURAL LED FIXTURE, MFG: VISA, MODEL: OW2480L40K-H-MVOLTFTXX DS, 60W</t>
  </si>
  <si>
    <t>RECESSED WALL LED STEP LIGHT, MFG: BEGA, MODEL: 22254-K3-**, 22W</t>
  </si>
  <si>
    <t>6'  X  4+A1:O56" APERTURE RECESSED LINEAR LED WET LOCATION FIXTURE, MFG: FINELITE, MODEL: HP-4 WL R-6'-B-830-F-SC-VF, 27.6W</t>
  </si>
  <si>
    <t>CC1, WALL MOUNT FULL CUT-OFF LED WALL PACK, MFG: HUBBELL, MODEL: LNC-5LU-4K-2-X, 13W</t>
  </si>
  <si>
    <t>BB1, POLE MOUNT LED EXTERIOR SITE LUMINAIRE WITH SINGLE HEAD, POLYCARBONATE  LENS, MFG: KIM, MODEL: FIXTURE: FM-LEB19SC-5E35-60L3K-CC
POLE: KRS12-4120-FM-CC, 67W, POLE MOUNTING: 20'</t>
  </si>
  <si>
    <t>BB2, POLE MOUNT LED EXTERIOR SITE LUMINAIRE WITH SINGLE HEAD, POLYCARBONATE  LENS, MFG: KIM, MODEL: FIXTURE: FM-LEB19SC-5E35-60L3K-CC
POLE: KRS12-4120-FM-CC, 37W, POLE MOUNTING: 12'</t>
  </si>
  <si>
    <t>EE1, EXTERIOR LED BOLLARD, 40" TALL X 6.5" DIAMETER, 360 DEGREE, MFG: BEGA, MODEL: 99570-K3-**, 746W</t>
  </si>
  <si>
    <t>ELECTRICAL SITE WORK</t>
  </si>
  <si>
    <t>Double 4" Conduits: 
12 Strand Single Mode Fiber Optic Cable
12 Starnd Multi Mode Fiber Optic Cable
100 Pair Copper</t>
  </si>
  <si>
    <t>RECESSED WALL LED STEP LIGHT, WIRE ALTERNATELY, MFG: BEGA, MODEL: 22254-K3-**, 22W</t>
  </si>
  <si>
    <t>4" ROUND LED ADJUSTABLE RECESSED DOWNLIGHT, MFG: PRESCOLITE, MODEL: LTR-4RA-H-10L40K8XW-DM1-LTR-4RA-T-S, 12W</t>
  </si>
  <si>
    <t>LIGHTING CONTROL</t>
  </si>
  <si>
    <t>2-BUTTON DIGITAL SWITCH (ON/OFF)</t>
  </si>
  <si>
    <t>TOGGLE SWITCH</t>
  </si>
  <si>
    <t>GRAPHIC WALL STATION</t>
  </si>
  <si>
    <t>2-BUTTON DIGITAL SWITCH (ON/OFF) IN SECURE LOCATION</t>
  </si>
  <si>
    <t>6-BUTTON  DIGITAL SWITCH (4 PRESET, RAISE/LOWER)</t>
  </si>
  <si>
    <t>OCCUPANCY SENSOR CONTROL</t>
  </si>
  <si>
    <t>4-BUTTON DIGITAL SWITCH(ES) (ON/OFF/RAISE/LOWER) THE "ON" FUNCTION OF THE DIMMER SHALL RECALL THE LAST DIMMED SETTING</t>
  </si>
  <si>
    <t>GRAPHIC WALL STATION, 2-BUTTON DIGITAL SWITCH (ON/OFF)</t>
  </si>
  <si>
    <t>4-BUTTON DIGITAL SWITCH(ES) (ON/OFF/RAISE/LOWER) THE "ON" FUNCTION OF THE DIMMER SHALL RECALL THE LAST DIMMED SETTING.</t>
  </si>
  <si>
    <t>2-BUTTON DIGITAL SWITCH (ON/OFF) WITH INTEGRAL SENSOR AT SWITCH</t>
  </si>
  <si>
    <t>2-BUTTON DIGITAL SWITCH (ON/OFF)
6-BUTTON  DIGITAL SWITCH (4 PRESET, RAISE/LOWER)</t>
  </si>
  <si>
    <t>4-BUTTON DIGITAL SWITCH(ES) (ON/OFF/RAISE/LOWER)THE "ON" FUNCTION OF THE DIMMER SHALL RECALL THE LAST DIMMED SETTING.</t>
  </si>
  <si>
    <t>Vacancy Sensor</t>
  </si>
  <si>
    <t>Occupancy Sensor</t>
  </si>
  <si>
    <t>Daylight Sensor</t>
  </si>
  <si>
    <t>PANELBOARD</t>
  </si>
  <si>
    <t>Panel, 208/120 V, 3PH, 4W, 100A BUS, 100A M.L.O., 22,000A RMS,PROVIDE WITH INTEGRAL 160kA SPD</t>
  </si>
  <si>
    <t>Panel, 480/277 V, 3PH, 4W, 100A BUS, 100A M.L.O., 65,000A RMSPROVIDE INTEGRAL METER AND 160kA SPD</t>
  </si>
  <si>
    <t>Panel, 208/120 V, 3PH, 4W, 100A BUS, 100A M.C.B., 22,000A RMS</t>
  </si>
  <si>
    <t>Panel, 480/277 V, 3PH, 4W, 225A BUS, 225A M.L.O., 65,000A RMS</t>
  </si>
  <si>
    <t>Panel, 480/277 V, 3PH, 4W, 100A BUS, 100A M.L.O., 65,000A RMS</t>
  </si>
  <si>
    <t>Panel, 480/277 V, 3PH, 4W, 800A BUS, 800A M.L.O., 65,000A RMS WITH FEED THRU LUGS</t>
  </si>
  <si>
    <t>Panel, 480/277 V, 3PH, 4W, 800A BUS, 800A M.L.O., 65,000A RMS</t>
  </si>
  <si>
    <t>Panel, 208/120 V, 3PH, 4W, 400A BUS, 225A M.L.O., 22,000A RMS PROVIDE WITH FEED-THROUGH LUGS</t>
  </si>
  <si>
    <t>Panel, 208/120 V, 3PH, 4W, 225A BUS, 225A M.L.O., 22,000A RMS</t>
  </si>
  <si>
    <t>Panel, 208/120 V, 3PH, 4W, 225A BUS, 225A M.L.O., 22,000A RMS WITH INTEGRAL METER</t>
  </si>
  <si>
    <t>Panel, 208/120 V, 3PH, 4W, 225A BUS, 225A M.L.O., 22,000A RMS PROVIDE WITH FEED-THROUGH LUGS</t>
  </si>
  <si>
    <t>Panel, 208/120 V, 3PH, 4W, 225A BUS, METERED 175A M.C.B., 22,000A RMS, PROVIDE WITH FEED-THROUGH LUGS</t>
  </si>
  <si>
    <t>PROVIDE ALLOWANCE FOR ALL WIRING</t>
  </si>
  <si>
    <t>LOUVER</t>
  </si>
  <si>
    <t>WINDOWS</t>
  </si>
  <si>
    <r>
      <t xml:space="preserve">11'-8" x 12'-10 1/2" Curtain Wall, YKK YCW 750XT - 7-1/2" MULLION DEPTH
</t>
    </r>
    <r>
      <rPr>
        <b/>
        <sz val="11"/>
        <rFont val="Calibri"/>
        <family val="2"/>
        <scheme val="minor"/>
      </rPr>
      <t>IGU-1:</t>
    </r>
    <r>
      <rPr>
        <sz val="11"/>
        <rFont val="Calibri"/>
        <family val="2"/>
        <scheme val="minor"/>
      </rPr>
      <t xml:space="preserve"> </t>
    </r>
    <r>
      <rPr>
        <b/>
        <sz val="11"/>
        <rFont val="Calibri"/>
        <family val="2"/>
        <scheme val="minor"/>
      </rPr>
      <t>1" DOUBLE-GLAZED</t>
    </r>
    <r>
      <rPr>
        <sz val="11"/>
        <rFont val="Calibri"/>
        <family val="2"/>
        <scheme val="minor"/>
      </rPr>
      <t xml:space="preserve"> 
-IGU BoD: VIRACON VNE24-63 
-1st LITE: 1/4" OPTIWHITE -24 
-COATING: VNE-63 
-CERAMIC FRIT: SURFACE 2 
-SCREEN: 1/4” DOTS @ 2”X2” GRID (51777) 
-2nd LITE: 1/4" CLEAR-1</t>
    </r>
  </si>
  <si>
    <r>
      <t xml:space="preserve">13'-1 3/4" x 24'-11 1/8" Curtain Wall, YKK YCW 750XT - 7-1/2" MULLION DEPTH
</t>
    </r>
    <r>
      <rPr>
        <b/>
        <sz val="11"/>
        <rFont val="Calibri"/>
        <family val="2"/>
        <scheme val="minor"/>
      </rPr>
      <t xml:space="preserve">IGU-1: 1" DOUBLE-GLAZED </t>
    </r>
    <r>
      <rPr>
        <sz val="11"/>
        <rFont val="Calibri"/>
        <family val="2"/>
        <scheme val="minor"/>
      </rPr>
      <t xml:space="preserve">
-IGU BoD: VIRACON VNE24-63 
-1st LITE: 1/4" OPTIWHITE -24 
-COATING: VNE-63 
-CERAMIC FRIT: SURFACE 2 
-SCREEN: 1/4” DOTS @ 2”X2” GRID (51777) 
-2nd LITE: 1/4" CLEAR-1</t>
    </r>
  </si>
  <si>
    <r>
      <t xml:space="preserve">3'-4 1/2" x 21'-1" Curtain Wall, YKK YCW 750XT - 7-1/2" MULLION DEPTH
</t>
    </r>
    <r>
      <rPr>
        <b/>
        <sz val="11"/>
        <rFont val="Calibri"/>
        <family val="2"/>
        <scheme val="minor"/>
      </rPr>
      <t xml:space="preserve">IGU-1: 1" DOUBLE-GLAZED </t>
    </r>
    <r>
      <rPr>
        <sz val="11"/>
        <rFont val="Calibri"/>
        <family val="2"/>
        <scheme val="minor"/>
      </rPr>
      <t xml:space="preserve">
-IGU BoD: VIRACON VNE24-63 
-1st LITE: 1/4" OPTIWHITE -24 
-COATING: VNE-63 
-CERAMIC FRIT: SURFACE 2 
-SCREEN: 1/4” DOTS @ 2”X2” GRID (51777) 
-2nd LITE: 1/4" CLEAR-1</t>
    </r>
  </si>
  <si>
    <r>
      <t xml:space="preserve">13'-1 3/4" x 12'-6 1/2" Curtain Wall, YKK YCW 750XT - 7-1/2" MULLION DEPTH
</t>
    </r>
    <r>
      <rPr>
        <b/>
        <sz val="11"/>
        <rFont val="Calibri"/>
        <family val="2"/>
        <scheme val="minor"/>
      </rPr>
      <t>IGU-1: 1" DOUBLE-GLAZED</t>
    </r>
    <r>
      <rPr>
        <sz val="11"/>
        <rFont val="Calibri"/>
        <family val="2"/>
        <scheme val="minor"/>
      </rPr>
      <t xml:space="preserve"> 
-IGU BoD: VIRACON VNE24-63 
-1st LITE: 1/4" OPTIWHITE -24 
-COATING: VNE-63 
-CERAMIC FRIT: SURFACE 2 
-SCREEN: 1/4” DOTS @ 2”X2” GRID (51777) 
-2nd LITE: 1/4" CLEAR-1</t>
    </r>
  </si>
  <si>
    <r>
      <t xml:space="preserve">8'-3 1/2" x 12'-10 1/2" Curtain Wall, YKK YCW 750XT - 7-1/2" MULLION DEPTH
</t>
    </r>
    <r>
      <rPr>
        <b/>
        <sz val="11"/>
        <rFont val="Calibri"/>
        <family val="2"/>
        <scheme val="minor"/>
      </rPr>
      <t xml:space="preserve">IGU-1: 1" DOUBLE-GLAZED </t>
    </r>
    <r>
      <rPr>
        <sz val="11"/>
        <rFont val="Calibri"/>
        <family val="2"/>
        <scheme val="minor"/>
      </rPr>
      <t xml:space="preserve">
-IGU BoD: VIRACON VNE24-63 
-1st LITE: 1/4" OPTIWHITE -24 
-COATING: VNE-63 
-CERAMIC FRIT: SURFACE 2 
-SCREEN: 1/4” DOTS @ 2”X2” GRID (51777) 
-2nd LITE: 1/4" CLEAR-1</t>
    </r>
  </si>
  <si>
    <r>
      <t xml:space="preserve">18'-5 1/4" x 12'-10 1/2" Curtain Wall, YKK YCW 750XT - 7-1/2" MULLION DEPTH
</t>
    </r>
    <r>
      <rPr>
        <b/>
        <sz val="11"/>
        <rFont val="Calibri"/>
        <family val="2"/>
        <scheme val="minor"/>
      </rPr>
      <t xml:space="preserve">IGU-1: 1" DOUBLE-GLAZED </t>
    </r>
    <r>
      <rPr>
        <sz val="11"/>
        <rFont val="Calibri"/>
        <family val="2"/>
        <scheme val="minor"/>
      </rPr>
      <t xml:space="preserve">
-IGU BoD: VIRACON VNE24-63 
-1st LITE: 1/4" OPTIWHITE -24 
-COATING: VNE-63 
-CERAMIC FRIT: SURFACE 2 
-SCREEN: 1/4” DOTS @ 2”X2” GRID (51777) 
-2nd LITE: 1/4" CLEAR-1</t>
    </r>
  </si>
  <si>
    <r>
      <t xml:space="preserve">4'-4 1/2" x 24'-6 1/2" Curtain Wall, YKK YCW 750XT - 7-1/2" MULLION DEPTH
</t>
    </r>
    <r>
      <rPr>
        <b/>
        <sz val="11"/>
        <rFont val="Calibri"/>
        <family val="2"/>
        <scheme val="minor"/>
      </rPr>
      <t xml:space="preserve">IGU-1: 1" DOUBLE-GLAZED </t>
    </r>
    <r>
      <rPr>
        <sz val="11"/>
        <rFont val="Calibri"/>
        <family val="2"/>
        <scheme val="minor"/>
      </rPr>
      <t xml:space="preserve">
-IGU BoD: VIRACON VNE24-63 
-1st LITE: 1/4" OPTIWHITE -24 
-COATING: VNE-63 
-CERAMIC FRIT: SURFACE 2 
-SCREEN: 1/4” DOTS @ 2”X2” GRID (51777) 
-2nd LITE: 1/4" CLEAR-1</t>
    </r>
  </si>
  <si>
    <r>
      <t xml:space="preserve">28'-6" x 12'-10 1/2" Curtain Wall, YKK YCW 750XT - 7-1/2" MULLION DEPTH
</t>
    </r>
    <r>
      <rPr>
        <b/>
        <sz val="11"/>
        <rFont val="Calibri"/>
        <family val="2"/>
        <scheme val="minor"/>
      </rPr>
      <t xml:space="preserve">IGU-1: 1" DOUBLE-GLAZED </t>
    </r>
    <r>
      <rPr>
        <sz val="11"/>
        <rFont val="Calibri"/>
        <family val="2"/>
        <scheme val="minor"/>
      </rPr>
      <t xml:space="preserve">
-IGU BoD: VIRACON VNE24-63 
-1st LITE: 1/4" OPTIWHITE -24 
-COATING: VNE-63 
-CERAMIC FRIT: SURFACE 2 
-SCREEN: 1/4” DOTS @ 2”X2” GRID (51777) 
-2nd LITE: 1/4" CLEAR-1</t>
    </r>
  </si>
  <si>
    <r>
      <t xml:space="preserve">7'-1" x 17'-6 7/8" Curtain Wall, YKK YCW 750XT - 7-1/2" MULLION DEPTH, 
</t>
    </r>
    <r>
      <rPr>
        <b/>
        <sz val="11"/>
        <rFont val="Calibri"/>
        <family val="2"/>
        <scheme val="minor"/>
      </rPr>
      <t xml:space="preserve">IGU-1: 1" DOUBLE-GLAZED 
</t>
    </r>
    <r>
      <rPr>
        <sz val="11"/>
        <rFont val="Calibri"/>
        <family val="2"/>
        <scheme val="minor"/>
      </rPr>
      <t>-IGU BoD: VIRACON VNE24-63 
-1st LITE: 1/4" OPTIWHITE -24 
-COATING: VNE-63 
-CERAMIC FRIT: SURFACE 2 
-SCREEN: 1/4” DOTS @ 2”X2” GRID (51777) 
-2nd LITE: 1/4" CLEAR-1</t>
    </r>
  </si>
  <si>
    <r>
      <t xml:space="preserve">119'-6 3/4" x 17'-10 1/4" Curtain Wall,  YKK YCW 750XT - 9" MULLION DEPTH
</t>
    </r>
    <r>
      <rPr>
        <b/>
        <sz val="11"/>
        <rFont val="Calibri"/>
        <family val="2"/>
        <scheme val="minor"/>
      </rPr>
      <t xml:space="preserve">IGU-1: 1" DOUBLE-GLAZED </t>
    </r>
    <r>
      <rPr>
        <sz val="11"/>
        <rFont val="Calibri"/>
        <family val="2"/>
        <scheme val="minor"/>
      </rPr>
      <t xml:space="preserve">
-IGU BoD: VIRACON VNE24-63 
-1st LITE: 1/4" OPTIWHITE -24 
-COATING: VNE-63 
-CERAMIC FRIT: SURFACE 2 
-SCREEN: 1/4” DOTS @ 2”X2” GRID (51777) 
-2nd LITE: 1/4" CLEAR-1</t>
    </r>
  </si>
  <si>
    <r>
      <t xml:space="preserve">2'-4 1/2" x 26'-4" Curtain Wall, YKK YCW 750XT - 7-1/2" MULLION DEPTH
</t>
    </r>
    <r>
      <rPr>
        <b/>
        <sz val="11"/>
        <rFont val="Calibri"/>
        <family val="2"/>
        <scheme val="minor"/>
      </rPr>
      <t>IGU-2: 1" DOUBLE-GLAZED IGU
-</t>
    </r>
    <r>
      <rPr>
        <sz val="11"/>
        <rFont val="Calibri"/>
        <family val="2"/>
        <scheme val="minor"/>
      </rPr>
      <t>BoD: VIRACON VE24-2M
-1st LITE: 1/4" OPTIWHITE -24
-COATING: VE-2M
-CERAMIC FRIT: SURFACE 2
-SCREEN: 1/4” DOTS @ 2”X2” GRID (51777)
-2nd LITE: 1/4" CLEAR-1</t>
    </r>
  </si>
  <si>
    <r>
      <t xml:space="preserve">5'-8 3/4" x 12'-10 1/2" Curtain Wall, YKK YCW 750XT - 7-1/2" MULLION DEPTH
</t>
    </r>
    <r>
      <rPr>
        <b/>
        <sz val="11"/>
        <rFont val="Calibri"/>
        <family val="2"/>
        <scheme val="minor"/>
      </rPr>
      <t>IGU-2: 1" DOUBLE-GLAZED IGU</t>
    </r>
    <r>
      <rPr>
        <sz val="11"/>
        <rFont val="Calibri"/>
        <family val="2"/>
        <scheme val="minor"/>
      </rPr>
      <t xml:space="preserve">
-BoD: VIRACON VE24-2M
-1st LITE: 1/4" OPTIWHITE -24
-COATING: VE-2M
-CERAMIC FRIT: SURFACE 2
-SCREEN: 1/4” DOTS @ 2”X2” GRID (51777)
-2nd LITE: 1/4" CLEAR-1</t>
    </r>
  </si>
  <si>
    <r>
      <t xml:space="preserve">12'-2 1/4" x 23'-9" Curtain Wall, YKK YCW 750XT - 7-1/2" MULLION DEPTH
</t>
    </r>
    <r>
      <rPr>
        <b/>
        <sz val="11"/>
        <rFont val="Calibri"/>
        <family val="2"/>
        <scheme val="minor"/>
      </rPr>
      <t>IGU-2: 1" DOUBLE-GLAZED IGU</t>
    </r>
    <r>
      <rPr>
        <sz val="11"/>
        <rFont val="Calibri"/>
        <family val="2"/>
        <scheme val="minor"/>
      </rPr>
      <t xml:space="preserve">
-BoD: VIRACON VE24-2M
-1st LITE: 1/4" OPTIWHITE -24
-COATING: VE-2M
-CERAMIC FRIT: SURFACE 2
-SCREEN: 1/4” DOTS @ 2”X2” GRID (51777)
-2nd LITE: 1/4" CLEAR-1</t>
    </r>
  </si>
  <si>
    <r>
      <t xml:space="preserve">12'-2 1/2" x 12'-10 1/2" Curtain Wall, YKK YCW 750XT - 7-1/2" MULLION DEPTH
</t>
    </r>
    <r>
      <rPr>
        <b/>
        <sz val="11"/>
        <rFont val="Calibri"/>
        <family val="2"/>
        <scheme val="minor"/>
      </rPr>
      <t>IGU-2: 1" DOUBLE-GLAZED IGU</t>
    </r>
    <r>
      <rPr>
        <sz val="11"/>
        <rFont val="Calibri"/>
        <family val="2"/>
        <scheme val="minor"/>
      </rPr>
      <t xml:space="preserve">
-BoD: VIRACON VE24-2M
-1st LITE: 1/4" OPTIWHITE -24
-COATING: VE-2M
-CERAMIC FRIT: SURFACE 2
-SCREEN: 1/4” DOTS @ 2”X2” GRID (51777)
-2nd LITE: 1/4" CLEAR-1</t>
    </r>
  </si>
  <si>
    <r>
      <t xml:space="preserve">13'-4 1/2" x 11'-10 1/2" Curtain Wall, YKK YCW 750XT - 7-1/2" MULLION DEPTH
</t>
    </r>
    <r>
      <rPr>
        <b/>
        <sz val="11"/>
        <rFont val="Calibri"/>
        <family val="2"/>
        <scheme val="minor"/>
      </rPr>
      <t>IGU-2: 1" DOUBLE-GLAZED IGU</t>
    </r>
    <r>
      <rPr>
        <sz val="11"/>
        <rFont val="Calibri"/>
        <family val="2"/>
        <scheme val="minor"/>
      </rPr>
      <t xml:space="preserve">
-BoD: VIRACON VE24-2M
-1st LITE: 1/4" OPTIWHITE -24
-COATING: VE-2M
-CERAMIC FRIT: SURFACE 2
-SCREEN: 1/4” DOTS @ 2”X2” GRID (51777)
-2nd LITE: 1/4" CLEAR-1</t>
    </r>
  </si>
  <si>
    <r>
      <t xml:space="preserve">13'-4 5/8" x 12'-10 1/2" Curtain Wall, YKK YCW 750XT - 7-1/2" MULLION DEPTH
</t>
    </r>
    <r>
      <rPr>
        <b/>
        <sz val="11"/>
        <rFont val="Calibri"/>
        <family val="2"/>
        <scheme val="minor"/>
      </rPr>
      <t>IGU-2: 1" DOUBLE-GLAZED IGU</t>
    </r>
    <r>
      <rPr>
        <sz val="11"/>
        <rFont val="Calibri"/>
        <family val="2"/>
        <scheme val="minor"/>
      </rPr>
      <t xml:space="preserve">
-BoD: VIRACON VE24-2M
-1st LITE: 1/4" OPTIWHITE -24
-COATING: VE-2M
-CERAMIC FRIT: SURFACE 2
-SCREEN: 1/4” DOTS @ 2”X2” GRID (51777)
-2nd LITE: 1/4" CLEAR-1</t>
    </r>
  </si>
  <si>
    <r>
      <t xml:space="preserve">35'-10" x 35'-5 1/4" Curtain Wall, YKK YCW 750XT - 10 1/2" MULLION DEPTH
</t>
    </r>
    <r>
      <rPr>
        <b/>
        <sz val="11"/>
        <rFont val="Calibri"/>
        <family val="2"/>
        <scheme val="minor"/>
      </rPr>
      <t>IGU-2: 1" DOUBLE-GLAZED IGU</t>
    </r>
    <r>
      <rPr>
        <sz val="11"/>
        <rFont val="Calibri"/>
        <family val="2"/>
        <scheme val="minor"/>
      </rPr>
      <t xml:space="preserve">
-BoD: VIRACON VE24-2M
-1st LITE: 1/4" OPTIWHITE -24
-COATING: VE-2M
-CERAMIC FRIT: SURFACE 2
-SCREEN: 1/4” DOTS @ 2”X2” GRID (51777)
-2nd LITE: 1/4" CLEAR-1</t>
    </r>
  </si>
  <si>
    <r>
      <t xml:space="preserve">6'-8 3/4" x 16'-1 5/8" Curtain Wall, YKK YCW 750XT - 7-1/2" MULLION DEPTH
</t>
    </r>
    <r>
      <rPr>
        <b/>
        <sz val="11"/>
        <rFont val="Calibri"/>
        <family val="2"/>
        <scheme val="minor"/>
      </rPr>
      <t>IGU-2: 1" DOUBLE-GLAZED IGU</t>
    </r>
    <r>
      <rPr>
        <sz val="11"/>
        <rFont val="Calibri"/>
        <family val="2"/>
        <scheme val="minor"/>
      </rPr>
      <t xml:space="preserve">
-BoD: VIRACON VE24-2M
-1st LITE: 1/4" OPTIWHITE -24
-COATING: VE-2M
-CERAMIC FRIT: SURFACE 2
-SCREEN: 1/4” DOTS @ 2”X2” GRID (51777)
-2nd LITE: 1/4" CLEAR-1</t>
    </r>
  </si>
  <si>
    <r>
      <t xml:space="preserve">6'-8 3/4" x 12'-6 1/2" Curtain Wall, YKK YCW 750XT - 7-1/2" MULLION DEPTH
</t>
    </r>
    <r>
      <rPr>
        <b/>
        <sz val="11"/>
        <rFont val="Calibri"/>
        <family val="2"/>
        <scheme val="minor"/>
      </rPr>
      <t>IGU-2: 1" DOUBLE-GLAZED IGU</t>
    </r>
    <r>
      <rPr>
        <sz val="11"/>
        <rFont val="Calibri"/>
        <family val="2"/>
        <scheme val="minor"/>
      </rPr>
      <t xml:space="preserve">
-BoD: VIRACON VE24-2M
-1st LITE: 1/4" OPTIWHITE -24
-COATING: VE-2M
-CERAMIC FRIT: SURFACE 2
-SCREEN: 1/4” DOTS @ 2”X2” GRID (51777)
-2nd LITE: 1/4" CLEAR-1</t>
    </r>
  </si>
  <si>
    <r>
      <t xml:space="preserve">12'-8 1/4" x 17'-4 1/2" Curtain Wall, YKK YCW 750XT - 7-1/2" MULLION DEPTH
</t>
    </r>
    <r>
      <rPr>
        <b/>
        <sz val="11"/>
        <rFont val="Calibri"/>
        <family val="2"/>
        <scheme val="minor"/>
      </rPr>
      <t>IGU-2: 1" DOUBLE-GLAZED IGU</t>
    </r>
    <r>
      <rPr>
        <sz val="11"/>
        <rFont val="Calibri"/>
        <family val="2"/>
        <scheme val="minor"/>
      </rPr>
      <t xml:space="preserve">
-BoD: VIRACON VE24-2M
-1st LITE: 1/4" OPTIWHITE -24
-COATING: VE-2M
-CERAMIC FRIT: SURFACE 2
-SCREEN: 1/4” DOTS @ 2”X2” GRID (51777)
-2nd LITE: 1/4" CLEAR-1</t>
    </r>
  </si>
  <si>
    <r>
      <t xml:space="preserve">10'-11 3/8" x 12'-11 1/4" Curtain Wall, YKK YCW 750XT - 7-1/2" MULLION DEPTH
</t>
    </r>
    <r>
      <rPr>
        <b/>
        <sz val="11"/>
        <rFont val="Calibri"/>
        <family val="2"/>
        <scheme val="minor"/>
      </rPr>
      <t>IGU-2: 1" DOUBLE-GLAZED IGU</t>
    </r>
    <r>
      <rPr>
        <sz val="11"/>
        <rFont val="Calibri"/>
        <family val="2"/>
        <scheme val="minor"/>
      </rPr>
      <t xml:space="preserve">
-BoD: VIRACON VE24-2M
-1st LITE: 1/4" OPTIWHITE -24
-COATING: VE-2M
-CERAMIC FRIT: SURFACE 2
-SCREEN: 1/4” DOTS @ 2”X2” GRID (51777)
-2nd LITE: 1/4" CLEAR-1</t>
    </r>
  </si>
  <si>
    <r>
      <t xml:space="preserve">18'-5" x 25'-2 1/2" Curtain Wall, YKK YCW 750XT - 7-1/2" MULLION DEPTH
</t>
    </r>
    <r>
      <rPr>
        <b/>
        <sz val="11"/>
        <rFont val="Calibri"/>
        <family val="2"/>
        <scheme val="minor"/>
      </rPr>
      <t>IGU-2: 1" DOUBLE-GLAZED IGU</t>
    </r>
    <r>
      <rPr>
        <sz val="11"/>
        <rFont val="Calibri"/>
        <family val="2"/>
        <scheme val="minor"/>
      </rPr>
      <t xml:space="preserve">
-BoD: VIRACON VE24-2M
-1st LITE: 1/4" OPTIWHITE -24
-COATING: VE-2M
-CERAMIC FRIT: SURFACE 2
-SCREEN: 1/4” DOTS @ 2”X2” GRID (51777)
-2nd LITE: 1/4" CLEAR-1</t>
    </r>
  </si>
  <si>
    <r>
      <t xml:space="preserve">18'-5" x 12'-10 1/2" Curtain Wall, YKK YCW 750XT - 7-1/2" MULLION DEPTH
</t>
    </r>
    <r>
      <rPr>
        <b/>
        <sz val="11"/>
        <rFont val="Calibri"/>
        <family val="2"/>
        <scheme val="minor"/>
      </rPr>
      <t>IGU-2: 1" DOUBLE-GLAZED IGU</t>
    </r>
    <r>
      <rPr>
        <sz val="11"/>
        <rFont val="Calibri"/>
        <family val="2"/>
        <scheme val="minor"/>
      </rPr>
      <t xml:space="preserve">
-BoD: VIRACON VE24-2M
-1st LITE: 1/4" OPTIWHITE -24
-COATING: VE-2M
-CERAMIC FRIT: SURFACE 2
-SCREEN: 1/4” DOTS @ 2”X2” GRID (51777)
-2nd LITE: 1/4" CLEAR-1</t>
    </r>
  </si>
  <si>
    <r>
      <t xml:space="preserve">10'-11 3/8" x 12'-10 1/2" Curtain Wall, YKK YCW 750XT - 7-1/2" MULLION DEPTH
</t>
    </r>
    <r>
      <rPr>
        <b/>
        <sz val="11"/>
        <rFont val="Calibri"/>
        <family val="2"/>
        <scheme val="minor"/>
      </rPr>
      <t>IGU-2: 1" DOUBLE-GLAZED IGU</t>
    </r>
    <r>
      <rPr>
        <sz val="11"/>
        <rFont val="Calibri"/>
        <family val="2"/>
        <scheme val="minor"/>
      </rPr>
      <t xml:space="preserve">
-BoD: VIRACON VE24-2M
-1st LITE: 1/4" OPTIWHITE -24
-COATING: VE-2M
-CERAMIC FRIT: SURFACE 2
-SCREEN: 1/4” DOTS @ 2”X2” GRID (51777)
-2nd LITE: 1/4" CLEAR-1</t>
    </r>
  </si>
  <si>
    <r>
      <t xml:space="preserve">22'-4" x 15'-11-1/2" Curtain Wall,  YKK YCW 750XT - 9" MULLION DEPTH
</t>
    </r>
    <r>
      <rPr>
        <b/>
        <sz val="11"/>
        <rFont val="Calibri"/>
        <family val="2"/>
        <scheme val="minor"/>
      </rPr>
      <t>IGU-2: 1" DOUBLE-GLAZED IGU</t>
    </r>
    <r>
      <rPr>
        <sz val="11"/>
        <rFont val="Calibri"/>
        <family val="2"/>
        <scheme val="minor"/>
      </rPr>
      <t xml:space="preserve">
-BoD: VIRACON VE24-2M
-1st LITE: 1/4" OPTIWHITE -24
-COATING: VE-2M
-CERAMIC FRIT: SURFACE 2
-SCREEN: 1/4” DOTS @ 2”X2” GRID (51777)
-2nd LITE: 1/4" CLEAR-1</t>
    </r>
  </si>
  <si>
    <r>
      <t xml:space="preserve">5'-6 1/4" x 17'-10 1/4" Curtain Wall,  YKK YCW 750XT - 9" MULLION DEPTH
</t>
    </r>
    <r>
      <rPr>
        <b/>
        <sz val="11"/>
        <rFont val="Calibri"/>
        <family val="2"/>
        <scheme val="minor"/>
      </rPr>
      <t>IGU-2: 1" DOUBLE-GLAZED IGU</t>
    </r>
    <r>
      <rPr>
        <sz val="11"/>
        <rFont val="Calibri"/>
        <family val="2"/>
        <scheme val="minor"/>
      </rPr>
      <t xml:space="preserve">
-BoD: VIRACON VE24-2M
-1st LITE: 1/4" OPTIWHITE -24
-COATING: VE-2M
-CERAMIC FRIT: SURFACE 2
-SCREEN: 1/4” DOTS @ 2”X2” GRID (51777)
-2nd LITE: 1/4" CLEAR-1</t>
    </r>
  </si>
  <si>
    <r>
      <t xml:space="preserve">22'-6" x 17'-10 1/4" Curtain Wall,  YKK YCW 750XT - 9" MULLION DEPTH
</t>
    </r>
    <r>
      <rPr>
        <b/>
        <sz val="11"/>
        <rFont val="Calibri"/>
        <family val="2"/>
        <scheme val="minor"/>
      </rPr>
      <t xml:space="preserve">IGU-1: 1" DOUBLE-GLAZED </t>
    </r>
    <r>
      <rPr>
        <sz val="11"/>
        <rFont val="Calibri"/>
        <family val="2"/>
        <scheme val="minor"/>
      </rPr>
      <t xml:space="preserve">
-IGU BoD: VIRACON VNE24-63 
-1st LITE: 1/4" OPTIWHITE -24 
-COATING: VNE-63 
-CERAMIC FRIT: SURFACE 2 
-SCREEN: 1/4” DOTS @ 2”X2” GRID (51777) 
-2nd LITE: 1/4" CLEAR-1</t>
    </r>
  </si>
  <si>
    <r>
      <t xml:space="preserve">22'-2 5/8" x 15'-11 1/2" Curtain Wall,  YKK YCW 750XT - 9" MULLION DEPTH
</t>
    </r>
    <r>
      <rPr>
        <b/>
        <sz val="11"/>
        <rFont val="Calibri"/>
        <family val="2"/>
        <scheme val="minor"/>
      </rPr>
      <t xml:space="preserve">IGU-1: 1" DOUBLE-GLAZED </t>
    </r>
    <r>
      <rPr>
        <sz val="11"/>
        <rFont val="Calibri"/>
        <family val="2"/>
        <scheme val="minor"/>
      </rPr>
      <t xml:space="preserve">
-IGU BoD: VIRACON VNE24-63 
-1st LITE: 1/4" OPTIWHITE -24 
-COATING: VNE-63 
-CERAMIC FRIT: SURFACE 2 
-SCREEN: 1/4” DOTS @ 2”X2” GRID (51777) 
-2nd LITE: 1/4" CLEAR-1</t>
    </r>
  </si>
  <si>
    <r>
      <t xml:space="preserve">14'-10 7/8" x 18'-4 1/2" Curtain Wall, YKK YCW 750XT - 7-1/2" MULLION DEPTH
</t>
    </r>
    <r>
      <rPr>
        <b/>
        <sz val="11"/>
        <rFont val="Calibri"/>
        <family val="2"/>
        <scheme val="minor"/>
      </rPr>
      <t xml:space="preserve">IGU-5: 1" DOUBLE-GLAZED IGU
</t>
    </r>
    <r>
      <rPr>
        <sz val="11"/>
        <rFont val="Calibri"/>
        <family val="2"/>
        <scheme val="minor"/>
      </rPr>
      <t>BoD: VIRACON VE24-2M
-1st LITE: 1/4" OPTIWHITE -24
-COATING: VE-2M
-CERAMIC FRIT: SURFACE 2
-SCREEN: 1/8” DOTS @ 60% OPACITY
-2nd LITE: 1/4" CLEAR-1</t>
    </r>
  </si>
  <si>
    <r>
      <t xml:space="preserve">14'-11" x 17'-1/2" Curtain Wall, YKK YCW 750XT - 7-1/2" MULLION DEPTH
</t>
    </r>
    <r>
      <rPr>
        <b/>
        <sz val="11"/>
        <rFont val="Calibri"/>
        <family val="2"/>
        <scheme val="minor"/>
      </rPr>
      <t>IGU-5: 1" DOUBLE-GLAZED IGU</t>
    </r>
    <r>
      <rPr>
        <sz val="11"/>
        <rFont val="Calibri"/>
        <family val="2"/>
        <scheme val="minor"/>
      </rPr>
      <t xml:space="preserve">
BoD: VIRACON VE24-2M
-1st LITE: 1/4" OPTIWHITE -24
-COATING: VE-2M
-CERAMIC FRIT: SURFACE 2
-SCREEN: 1/8” DOTS @ 60% OPACITY
-2nd LITE: 1/4" CLEAR-1</t>
    </r>
  </si>
  <si>
    <r>
      <t xml:space="preserve">32'-0" x 18'-4 1/2" Curtain Wall, YKK YCW 750XT - 7-1/2" MULLION DEPTH
</t>
    </r>
    <r>
      <rPr>
        <b/>
        <sz val="11"/>
        <rFont val="Calibri"/>
        <family val="2"/>
        <scheme val="minor"/>
      </rPr>
      <t>IGU-5: 1" DOUBLE-GLAZED IGU</t>
    </r>
    <r>
      <rPr>
        <sz val="11"/>
        <rFont val="Calibri"/>
        <family val="2"/>
        <scheme val="minor"/>
      </rPr>
      <t xml:space="preserve">
BoD: VIRACON VE24-2M
-1st LITE: 1/4" OPTIWHITE -24
-COATING: VE-2M
-CERAMIC FRIT: SURFACE 2
-SCREEN: 1/8” DOTS @ 60% OPACITY
-2nd LITE: 1/4" CLEAR-1</t>
    </r>
  </si>
  <si>
    <r>
      <t xml:space="preserve">48'-7 7/8" x 8'-3 1/4" Storefront, YKK YES 60XT
</t>
    </r>
    <r>
      <rPr>
        <b/>
        <sz val="11"/>
        <rFont val="Calibri"/>
        <family val="2"/>
        <scheme val="minor"/>
      </rPr>
      <t>IGU-3: 1" DOUBLE-GLAZED IGU</t>
    </r>
    <r>
      <rPr>
        <sz val="11"/>
        <rFont val="Calibri"/>
        <family val="2"/>
        <scheme val="minor"/>
      </rPr>
      <t xml:space="preserve">
</t>
    </r>
    <r>
      <rPr>
        <b/>
        <sz val="11"/>
        <rFont val="Calibri"/>
        <family val="2"/>
        <scheme val="minor"/>
      </rPr>
      <t>-</t>
    </r>
    <r>
      <rPr>
        <sz val="11"/>
        <rFont val="Calibri"/>
        <family val="2"/>
        <scheme val="minor"/>
      </rPr>
      <t>BoD: VIRACON VE24-2M
-1st LITE: 1/4" OPTIWHITE -24
-COATING: VE-2M
-CERAMIC FRIT: NONE
-2nd LITE: 1/4" CLEAR-1</t>
    </r>
  </si>
  <si>
    <r>
      <t xml:space="preserve">10'-11 1/4" x 8'-3 5/8" Storefront, YKK YES 60XT
</t>
    </r>
    <r>
      <rPr>
        <b/>
        <sz val="11"/>
        <rFont val="Calibri"/>
        <family val="2"/>
        <scheme val="minor"/>
      </rPr>
      <t>IGU-3: 1" DOUBLE-GLAZED IGU</t>
    </r>
    <r>
      <rPr>
        <sz val="11"/>
        <rFont val="Calibri"/>
        <family val="2"/>
        <scheme val="minor"/>
      </rPr>
      <t xml:space="preserve">
-BoD: VIRACON VE24-2M
-1st LITE: 1/4" OPTIWHITE -24
-COATING: VE-2M
-CERAMIC FRIT: NONE
-2nd LITE: 1/4" CLEAR-1</t>
    </r>
  </si>
  <si>
    <r>
      <t xml:space="preserve">5'-1" x 10'-2 5/8" Puched Window, YKK YES 60XT W/ YES SSG TU VENT
</t>
    </r>
    <r>
      <rPr>
        <b/>
        <sz val="11"/>
        <rFont val="Calibri"/>
        <family val="2"/>
        <scheme val="minor"/>
      </rPr>
      <t xml:space="preserve">IGU-3: 1" DOUBLE-GLAZED IGU
</t>
    </r>
    <r>
      <rPr>
        <sz val="11"/>
        <rFont val="Calibri"/>
        <family val="2"/>
        <scheme val="minor"/>
      </rPr>
      <t>-BoD: VIRACON VE24-2M
-1st LITE: 1/4" OPTIWHITE -24
-COATING: VE-2M
-CERAMIC FRIT: NONE
-2nd LITE: 1/4" CLEAR-1</t>
    </r>
  </si>
  <si>
    <r>
      <t xml:space="preserve">5'-1" x 8'-2 3/8" Punched Window, YKK YES 45XT W/ YES SSG TU VENT
</t>
    </r>
    <r>
      <rPr>
        <b/>
        <sz val="11"/>
        <rFont val="Calibri"/>
        <family val="2"/>
        <scheme val="minor"/>
      </rPr>
      <t>IGU-3: 1" DOUBLE-GLAZED IGU</t>
    </r>
    <r>
      <rPr>
        <sz val="11"/>
        <rFont val="Calibri"/>
        <family val="2"/>
        <scheme val="minor"/>
      </rPr>
      <t xml:space="preserve">
-BoD: VIRACON VE24-2M
-1st LITE: 1/4" OPTIWHITE -24
-COATING: VE-2M
-CERAMIC FRIT: NONE
-2nd LITE: 1/4" CLEAR-1</t>
    </r>
  </si>
  <si>
    <t>6'-0" x 6'-0" Louver, CS RSH-5700</t>
  </si>
  <si>
    <t>6'-0" x 8'-0" Louver, CS RSH-5700</t>
  </si>
  <si>
    <t>FOUNDATION</t>
  </si>
  <si>
    <t>CONCRETE SLAB</t>
  </si>
  <si>
    <t>2'-0" x 1'-0" Cont. Concrete Footing W/ 3-#4 LWB &amp; #4 @ 24"” SWB</t>
  </si>
  <si>
    <t>10'-0" x 10'-0" x 2'-4" Concrete Footing W/ 9-#7 EWB</t>
  </si>
  <si>
    <t>16'-0" x 10'-0" x 2'-6" Concrete Footing W/ 11-#7 LWB &amp; 17-#7 SWB</t>
  </si>
  <si>
    <t>11'-0" x 11'-0" x 2'-6" Concrete Footing W/ 11-#7 EWB</t>
  </si>
  <si>
    <t>16'-0" x 11'-6" x 2'-6" Concrete Footing W/ 9-#8 LWB &amp; 14-#8 SWB</t>
  </si>
  <si>
    <t>12'-0" x 12'-0" x 2'-8" Concrete Footing W/ 10-#8 EWB</t>
  </si>
  <si>
    <t>12'-6" x 12'-6" x 2'-8" Concrete Footing W/ 11-#8 EWB</t>
  </si>
  <si>
    <t>13'-0" x 13'-0" x 2'-10" Concrete Footing W/ 12-#8 EWB</t>
  </si>
  <si>
    <t>3'-0" x 3'-0" x 1'-0" Concrete Footing W/ 4-#4 EWB</t>
  </si>
  <si>
    <t>4'-6" x 4'-6" x 1'-0" Concrete Footing W/ 5-#4 EWB</t>
  </si>
  <si>
    <t>5'-6" x 5'-6" x 1'-4" Concrete Footing W/ 5-#5 EWB</t>
  </si>
  <si>
    <t>6'-0" x 6'-0" x 1'-6" Concrete Footing W/ 6-#5 EWB</t>
  </si>
  <si>
    <t>6'-6" x 6'-6" x 1'6" Concrete Footing W/ 8-#5 EWB</t>
  </si>
  <si>
    <t>7'-0" x 7'-0" x 1'-8" Concrete Footing W/ 8-#5 EWB</t>
  </si>
  <si>
    <t>7'-6" x 7'-6" x 1'-10" Concrete Footing W/ 7-#6 EWB</t>
  </si>
  <si>
    <t>8'-0" x 8'-0" x 1'-10" Concrete Footing W/ 8-#6 EWB</t>
  </si>
  <si>
    <t>8'-6" x 8'-6" x 2'-0" Concrete Footing W/ 9-#6 EWB</t>
  </si>
  <si>
    <t>9'-0" x 9'-0" x 2'-2" Concrete Footing W/ 10-#6 EWB</t>
  </si>
  <si>
    <t>9'-6" x 9'-6" x 2'-2" Concrete Footing W/ 8-#7 EWB</t>
  </si>
  <si>
    <t>CONCRETE PIERS</t>
  </si>
  <si>
    <t>CONCRETE WALL</t>
  </si>
  <si>
    <t>16" Concrete Retaining Wall W/ Reinf.</t>
  </si>
  <si>
    <t>20" Concrete Retaining Wall W/ Reinf.</t>
  </si>
  <si>
    <t>20" x 20" Concrete Pier W/ Reinf.</t>
  </si>
  <si>
    <t>24" x 24" Concrete Pier W/ 8-#8 VERT. w/ #3 TIES @ 12"</t>
  </si>
  <si>
    <t>30" x 30" Concrete pier W/ 12-#9 VERT. W/ #4 TIES @ 12"</t>
  </si>
  <si>
    <t>32" x 32" Concrete pier W/ 12-#9 VERT. W/ #4 TIES @ 12"</t>
  </si>
  <si>
    <t>36" x 36" Concrete pier W/ 16-#9 VERT. W/ #4 TIES @ 12"</t>
  </si>
  <si>
    <t>COLUMNS</t>
  </si>
  <si>
    <t>CONCRETE STAIRS</t>
  </si>
  <si>
    <t>Concrete Steps</t>
  </si>
  <si>
    <t>PAINTED GUARDRAIL, RAILING PICKETS, COLOR: SW7757 HIGH REFLECTIVE WHITE</t>
  </si>
  <si>
    <t>WOOD HANDRAIL</t>
  </si>
  <si>
    <t>4'-0" x 1'-0" Cont. Concrete Footing W/ Reinf.</t>
  </si>
  <si>
    <t>Concrete Seat Wall</t>
  </si>
  <si>
    <t>8'-0" x 1'-4" Cont. Concrete Footing W/ Reinf.</t>
  </si>
  <si>
    <t>5'-4" x 1'-0" Cont. Concrete Footing W/ Reinf.</t>
  </si>
  <si>
    <t>8'-4" x 1'-0" Cont. Concrete Footing W/ Reinf.</t>
  </si>
  <si>
    <t>3'-4" x 1'-0" Cont. Concrete Footing W/ Reinf.</t>
  </si>
  <si>
    <t>BEAMS/JOISTS</t>
  </si>
  <si>
    <t>WALL ASSEMBLIES</t>
  </si>
  <si>
    <t>TRUSSES</t>
  </si>
  <si>
    <t>4 1/2" NORMAL WEIGHT CONCRETE COVER w/ 6x6-W2.1 x W2.1 WWF</t>
  </si>
  <si>
    <t>METAL DECKING</t>
  </si>
  <si>
    <t>3" 20 GA. (GALV.) LOK-FLOOR COMPOSITE DECK</t>
  </si>
  <si>
    <t>2" 18 GA. (GALV.) LOK-FLOOR COMPOSITE DECK</t>
  </si>
  <si>
    <t>2", 20 GA. ACOUSTICAL REVEAL TYPE METAL ROOF DECK</t>
  </si>
  <si>
    <t>1 1/2", 20 GA. METAL ROOF DECK</t>
  </si>
  <si>
    <t>3-1/2", 20 GA Acoustical Metal Decking</t>
  </si>
  <si>
    <t xml:space="preserve">Removal of  Brick Paving &amp; Landscping Tie </t>
  </si>
  <si>
    <t xml:space="preserve">Removal of  Canopy Structure &amp; Bench </t>
  </si>
  <si>
    <t xml:space="preserve">Removal of Brick Paving </t>
  </si>
  <si>
    <t xml:space="preserve">Removal of  Timber Wall </t>
  </si>
  <si>
    <t xml:space="preserve">Removal of Asphalt Curb </t>
  </si>
  <si>
    <t xml:space="preserve">Removal of Chain Link Fence </t>
  </si>
  <si>
    <t xml:space="preserve">Removal of Concrete Coping </t>
  </si>
  <si>
    <t xml:space="preserve">Removal of Depressed Curb </t>
  </si>
  <si>
    <t xml:space="preserve">Removal of Painted Crosswalk </t>
  </si>
  <si>
    <t xml:space="preserve">Abondon Storm Sewer </t>
  </si>
  <si>
    <t xml:space="preserve">Abondon 6" DIP Fire Service Line </t>
  </si>
  <si>
    <t xml:space="preserve">Removal of Conduit &amp; Cabling 12 Strand Fiber &amp; 100 Pair Copper Phone Cable </t>
  </si>
  <si>
    <t xml:space="preserve">Relocate Plaque </t>
  </si>
  <si>
    <t xml:space="preserve">Relocate Protice Soccer Field </t>
  </si>
  <si>
    <t xml:space="preserve">Relocate Sign </t>
  </si>
  <si>
    <t xml:space="preserve">Relocate Utility Pole </t>
  </si>
  <si>
    <t xml:space="preserve">Removal of  Benches (Salvaged) </t>
  </si>
  <si>
    <t xml:space="preserve">Removal of  Fountain </t>
  </si>
  <si>
    <t xml:space="preserve">Removal of  Storm Sewer Inlet </t>
  </si>
  <si>
    <t xml:space="preserve">Removal of Bench </t>
  </si>
  <si>
    <t xml:space="preserve">Removal of Gate, Gate Posts &amp; Posts Foundations </t>
  </si>
  <si>
    <t xml:space="preserve">Removal of Pavement Markings </t>
  </si>
  <si>
    <t xml:space="preserve">Removal of Platers </t>
  </si>
  <si>
    <t xml:space="preserve">Removal of Shurbs </t>
  </si>
  <si>
    <t xml:space="preserve">Removal of Stop Signs </t>
  </si>
  <si>
    <t xml:space="preserve">Removal of Storm Manhole </t>
  </si>
  <si>
    <t xml:space="preserve">Relocate Lighting Fixtures </t>
  </si>
  <si>
    <t xml:space="preserve">Replcae Street Light </t>
  </si>
  <si>
    <t xml:space="preserve">Boulder Outcrop </t>
  </si>
  <si>
    <t xml:space="preserve">2" Thick Asphalt Overlay @Mill Sphalt </t>
  </si>
  <si>
    <t xml:space="preserve">Concrete Pad </t>
  </si>
  <si>
    <t xml:space="preserve">Concrete Pad For Electrical Transformers </t>
  </si>
  <si>
    <t xml:space="preserve">Concrete Pedestal Pavers </t>
  </si>
  <si>
    <t xml:space="preserve">Concrete Sidewalk </t>
  </si>
  <si>
    <t xml:space="preserve">Reinforced Concrete </t>
  </si>
  <si>
    <t xml:space="preserve">Aluminium Landscape Edging </t>
  </si>
  <si>
    <t xml:space="preserve">Concrete Curb </t>
  </si>
  <si>
    <t xml:space="preserve">Concrete Curb Turndown </t>
  </si>
  <si>
    <t xml:space="preserve">Crosswalk </t>
  </si>
  <si>
    <t xml:space="preserve">Dry-Stacked Stone Wall </t>
  </si>
  <si>
    <t xml:space="preserve">PVC Coated Chain Link Fence </t>
  </si>
  <si>
    <t xml:space="preserve">Raised Crosswalk Table </t>
  </si>
  <si>
    <t xml:space="preserve">Ramp Handrail </t>
  </si>
  <si>
    <t xml:space="preserve">Stone Site Wall Adjustment </t>
  </si>
  <si>
    <t xml:space="preserve">ADA Parking Space Sign </t>
  </si>
  <si>
    <t xml:space="preserve">ADA Pavement Marking </t>
  </si>
  <si>
    <t xml:space="preserve">Bike Rack </t>
  </si>
  <si>
    <t xml:space="preserve">Chain Link Fence Gate </t>
  </si>
  <si>
    <t xml:space="preserve">Concrete Steps </t>
  </si>
  <si>
    <t xml:space="preserve">Litter Receptacle (Owner Furnished, Contractor Installed) </t>
  </si>
  <si>
    <t xml:space="preserve">Reinforced Concrete Stairs </t>
  </si>
  <si>
    <t xml:space="preserve">Stone Clad Pier </t>
  </si>
  <si>
    <t xml:space="preserve">Trash Receptacle </t>
  </si>
  <si>
    <t xml:space="preserve">Concrete Washout Station </t>
  </si>
  <si>
    <t xml:space="preserve">Topsoil Stockpile Area </t>
  </si>
  <si>
    <t xml:space="preserve">18" Composite Filter Sock </t>
  </si>
  <si>
    <t xml:space="preserve">Silt Fence </t>
  </si>
  <si>
    <t xml:space="preserve">Inlet Protection </t>
  </si>
  <si>
    <t xml:space="preserve">Pumped Water Filter </t>
  </si>
  <si>
    <t xml:space="preserve">Sump Pit </t>
  </si>
  <si>
    <t xml:space="preserve">Sub-Surface Infilteration Bed </t>
  </si>
  <si>
    <t xml:space="preserve">Surfacce Detention Bed </t>
  </si>
  <si>
    <t xml:space="preserve">Fire Service Return Line, 6" Dia. Ductile Iron, 4' Cover </t>
  </si>
  <si>
    <t xml:space="preserve">Fire Service Supply Line, 6" Dia. Ductile Iron, 4' Cover </t>
  </si>
  <si>
    <t xml:space="preserve">Fresh Air Inlet </t>
  </si>
  <si>
    <t xml:space="preserve">Sanitary Manhole </t>
  </si>
  <si>
    <t xml:space="preserve">2-WAY 5" PRIMARY SERVICE DUCTBANK </t>
  </si>
  <si>
    <t xml:space="preserve">1500 KVA Pad Mounted Transformer </t>
  </si>
  <si>
    <t xml:space="preserve">15kV Fused Load Interrupter Switch &amp; Peco Metering Compartment </t>
  </si>
  <si>
    <t xml:space="preserve">24" x 24" x 24" Communications Handpole </t>
  </si>
  <si>
    <t xml:space="preserve">Peco Utility Pole </t>
  </si>
  <si>
    <t xml:space="preserve">12" Concrete Wall W/ #4 @12" O.C. EW. EF </t>
  </si>
  <si>
    <t xml:space="preserve">4" Concrete Slab W/ 6x6 - W1.4xW1.4 WWR Over 4" Crushed Stone </t>
  </si>
  <si>
    <t xml:space="preserve">HSS 10X6X5/16 </t>
  </si>
  <si>
    <t xml:space="preserve">HSS 14X4X5/16 </t>
  </si>
  <si>
    <t xml:space="preserve">HSS 20X4X1/2 </t>
  </si>
  <si>
    <t xml:space="preserve">W 12x150 </t>
  </si>
  <si>
    <t xml:space="preserve">W 12x89 </t>
  </si>
  <si>
    <t xml:space="preserve">W 14X61 </t>
  </si>
  <si>
    <t xml:space="preserve">W 16x100 </t>
  </si>
  <si>
    <t xml:space="preserve">W 18X119 </t>
  </si>
  <si>
    <t xml:space="preserve">W 18x143 </t>
  </si>
  <si>
    <t xml:space="preserve">W 18x31 </t>
  </si>
  <si>
    <t xml:space="preserve">W 18x46 </t>
  </si>
  <si>
    <t xml:space="preserve">W 18X86 </t>
  </si>
  <si>
    <t xml:space="preserve">W 21x50 </t>
  </si>
  <si>
    <t xml:space="preserve">W 21X56 </t>
  </si>
  <si>
    <t xml:space="preserve">W 24X35 </t>
  </si>
  <si>
    <t xml:space="preserve">W 24X62 </t>
  </si>
  <si>
    <t xml:space="preserve">W 24X68 </t>
  </si>
  <si>
    <t xml:space="preserve">W 24X74 </t>
  </si>
  <si>
    <t xml:space="preserve">W 24x76 </t>
  </si>
  <si>
    <t xml:space="preserve">W 24X76 </t>
  </si>
  <si>
    <t xml:space="preserve">W 27X102 </t>
  </si>
  <si>
    <t xml:space="preserve">W 27X178 </t>
  </si>
  <si>
    <t xml:space="preserve">W 30x108 </t>
  </si>
  <si>
    <t xml:space="preserve">W 30x191 </t>
  </si>
  <si>
    <t xml:space="preserve">W 30x90 </t>
  </si>
  <si>
    <t xml:space="preserve">W 33X130 </t>
  </si>
  <si>
    <t xml:space="preserve">W 8x24 </t>
  </si>
  <si>
    <t xml:space="preserve">80DLH SP1 </t>
  </si>
  <si>
    <t xml:space="preserve">80DLH SP3 </t>
  </si>
  <si>
    <t xml:space="preserve">98 DLH SP4a </t>
  </si>
  <si>
    <t xml:space="preserve">98DLH SP6 </t>
  </si>
  <si>
    <t xml:space="preserve">3'-0" x 4'-0" MET Door, Coiling Overhead </t>
  </si>
  <si>
    <t xml:space="preserve">3'-0" x 6'-0" Hollow Metal Door, Hollow Metal Frame, Painted </t>
  </si>
  <si>
    <t xml:space="preserve">3'-0" x 7'-0" Aluminium Door, Aluminium Frame, Fire Rated </t>
  </si>
  <si>
    <t xml:space="preserve">3'-0" x 7'-0" Alumnium Door, Aluminium Frame, Tempered Glazing </t>
  </si>
  <si>
    <t xml:space="preserve">3'-0" x 7'-4" Hollow Metal Door, Hollow Metal Frame, Painted </t>
  </si>
  <si>
    <t xml:space="preserve">3'-11.5" x 3'-6" Concourse Gate </t>
  </si>
  <si>
    <t xml:space="preserve">5'-0" x 4'-0" MET Door, Coiling Overhead </t>
  </si>
  <si>
    <t xml:space="preserve">6'-0" x 7'-0" Aluminium Door, Aluminium Frame, Tempered Glazing </t>
  </si>
  <si>
    <t xml:space="preserve">6'-0" x 7'-0" Alumnium Door, Aluminium Frame, Fire Rated </t>
  </si>
  <si>
    <t xml:space="preserve">6'-0" x 7'-0" Hollow Metal Door, Hollow Metal Frame, Painted </t>
  </si>
  <si>
    <t xml:space="preserve">6'-0" x 7'-0" MDO Door, Hollow Metal Frame, Painted </t>
  </si>
  <si>
    <t xml:space="preserve">6'-0" x 7'-0" MET Door, Coiling Overhead </t>
  </si>
  <si>
    <t xml:space="preserve">6'-0" x 7'-0" Wooden Door, Hollow Metal Framing, Tempered Glazing </t>
  </si>
  <si>
    <t xml:space="preserve">6'-0" x 7'-6.5" Wooden Door, Aluminium Framing, Tempered Glazing </t>
  </si>
  <si>
    <t xml:space="preserve">6'-0" x 8'-0" Aluminium Door, Aluminium Frame, Fire Rated </t>
  </si>
  <si>
    <t xml:space="preserve">6'-0" x 8'-0" Aluminium Door, Aluminium Frame, tempered glazing </t>
  </si>
  <si>
    <t xml:space="preserve">6'-0" x 8'-0" Hollow Metal Door, Hollow Metal Frame, Painted </t>
  </si>
  <si>
    <t xml:space="preserve">6'-0" x 8'-0" Wooden Door, Wooden Frame, Stain Finish </t>
  </si>
  <si>
    <t xml:space="preserve">1/2" Hot Water Return Pipe </t>
  </si>
  <si>
    <t xml:space="preserve">1" Hot Water Return Pipe </t>
  </si>
  <si>
    <t xml:space="preserve">1-1/2" Vent Pipe </t>
  </si>
  <si>
    <t xml:space="preserve">8" Sanitary Pipe </t>
  </si>
  <si>
    <t xml:space="preserve">3/4" Condensate Drain </t>
  </si>
  <si>
    <t xml:space="preserve">1-1/2" Condensate Drain </t>
  </si>
  <si>
    <t xml:space="preserve">2-1/2" Gas Pipe </t>
  </si>
  <si>
    <t xml:space="preserve">1" Gas Pipe </t>
  </si>
  <si>
    <t xml:space="preserve">1/2" Gas Pipe </t>
  </si>
  <si>
    <t xml:space="preserve">2" FM </t>
  </si>
  <si>
    <t xml:space="preserve">4" FM </t>
  </si>
  <si>
    <t xml:space="preserve">10" x 10" Duct </t>
  </si>
  <si>
    <t xml:space="preserve">12 x 12 Duct </t>
  </si>
  <si>
    <t xml:space="preserve">14" x 12" Duct </t>
  </si>
  <si>
    <t xml:space="preserve">22 x 32 Duct </t>
  </si>
  <si>
    <t xml:space="preserve">24 x 14 Duct </t>
  </si>
  <si>
    <t xml:space="preserve">24 x 16 Duct </t>
  </si>
  <si>
    <t xml:space="preserve">26 x 22 Duct </t>
  </si>
  <si>
    <t xml:space="preserve">28 x 10 Duct </t>
  </si>
  <si>
    <t xml:space="preserve">28 x 22 Duct </t>
  </si>
  <si>
    <t xml:space="preserve">32 x 12 Duct </t>
  </si>
  <si>
    <t xml:space="preserve">32 x 20 Duct </t>
  </si>
  <si>
    <t xml:space="preserve">32 x 22 Duct </t>
  </si>
  <si>
    <t xml:space="preserve">36 x 10 Duct </t>
  </si>
  <si>
    <t xml:space="preserve">36 x 12 Duct </t>
  </si>
  <si>
    <t xml:space="preserve">38 x 10 Duct </t>
  </si>
  <si>
    <t xml:space="preserve">38 x 18 Duct </t>
  </si>
  <si>
    <t xml:space="preserve">40 x 10 Duct </t>
  </si>
  <si>
    <t xml:space="preserve">42 x 16 Duct </t>
  </si>
  <si>
    <t xml:space="preserve">52 x 22 Duct </t>
  </si>
  <si>
    <t xml:space="preserve">54" x 16" Duct </t>
  </si>
  <si>
    <t xml:space="preserve">18" Round Duct </t>
  </si>
  <si>
    <t xml:space="preserve">8" Flexible Duct </t>
  </si>
  <si>
    <t xml:space="preserve">24" x 24" Square, 3-Cone Diffuser, MFG: Price, Model: SCD, Neck Size: 10" Dia., 260 CFM </t>
  </si>
  <si>
    <t xml:space="preserve">24" x 24" Square, 3-Cone Diffuser, MFG: Price, Model: SCD, Neck Size: 10" Dia., 300 CFM </t>
  </si>
  <si>
    <t xml:space="preserve">24" x 24" Square, 3-Cone Diffuser, MFG: Price, Model: SCD, Neck Size: 10" Dia., 350 CFM </t>
  </si>
  <si>
    <t xml:space="preserve">24" x 24" Square, 3-Cone Diffuser, MFG: Price, Model: SCD, Neck Size: 12" Dia., 425 CFM </t>
  </si>
  <si>
    <t xml:space="preserve">24" x 24" Square, 3-Cone Diffuser, MFG: Price, Model: SCD, Neck Size: 12" Dia., 475 CFM </t>
  </si>
  <si>
    <t xml:space="preserve">24" x 24" Square, 3-Cone Diffuser, MFG: Price, Model: SCD, Neck Size: 12" Dia., 500 CFM </t>
  </si>
  <si>
    <t xml:space="preserve">24" x 24" Square, 3-Cone Diffuser, MFG: Price, Model: SCD, Neck Size: 6" Dia., 120 CFM </t>
  </si>
  <si>
    <t xml:space="preserve">24" x 24" Square, 3-Cone Diffuser, MFG: Price, Model: SCD, Neck Size: 6" Dia., 75 CFM </t>
  </si>
  <si>
    <t xml:space="preserve">Adjustable Face Bar Grille, MFG: Price, Model: 520, Neck Size: 10" x 10", 225 CFM </t>
  </si>
  <si>
    <t xml:space="preserve">Adjustable Face Bar Grille, MFG: Price, Model: 520, Neck Size: 10" x 8", 170 CFM </t>
  </si>
  <si>
    <t xml:space="preserve">Adjustable Face Bar Grille, MFG: Price, Model: 520, Neck Size: 10" x 8", 250 CFM </t>
  </si>
  <si>
    <t xml:space="preserve">Adjustable Face Bar Grille, MFG: Price, Model: 520, Neck Size: 18" x 10", 545 CFM </t>
  </si>
  <si>
    <t xml:space="preserve">Adjustable Face Bar Grille, MFG: Price, Model: 520, Neck Size: 22" x 10", 600 CFM </t>
  </si>
  <si>
    <t xml:space="preserve">Adjustable Face Bar Grille, MFG: Price, Model: 520, Neck Size: 24" x 10", 675 CFM </t>
  </si>
  <si>
    <t xml:space="preserve">Adjustable Face Bar Grille, MFG: Price, Model: 520, Neck Size: 24" x 10", 800 CFM </t>
  </si>
  <si>
    <t xml:space="preserve">Adjustable Face Bar Grille, MFG: Price, Model: 520, Neck Size: 24" x 10", 900 CFM </t>
  </si>
  <si>
    <t xml:space="preserve">Adjustable Face Bar Grille, MFG: Price, Model: 520, Neck Size: 24" x 14", 1200 CFM </t>
  </si>
  <si>
    <t xml:space="preserve">Adjustable Face Bar Grille, MFG: Price, Model: 520, Neck Size: 8" x 6", 50 CFM </t>
  </si>
  <si>
    <t xml:space="preserve">Fixed Face Bar Grille, MFG: Price, Model: 530, Neck Size: 10" x 10", 225 CFM </t>
  </si>
  <si>
    <t xml:space="preserve">Fixed Face Bar Grille, MFG: Price, Model: 530, Neck Size: 10" x 8", 250 CFM </t>
  </si>
  <si>
    <t xml:space="preserve">Fixed Face Bar Grille, MFG: Price, Model: 530, Neck Size: 14" x 8", 150 CFM </t>
  </si>
  <si>
    <t xml:space="preserve">Fixed Face Bar Grille, MFG: Price, Model: 530, Neck Size: 16" x 16", 675 CFM </t>
  </si>
  <si>
    <t xml:space="preserve">Fixed Face Bar Grille, MFG: Price, Model: 530, Neck Size: 16" x 16", 850 CFM </t>
  </si>
  <si>
    <t xml:space="preserve">Fixed Face Bar Grille, MFG: Price, Model: 530, Neck Size: 18" x 18", 600 CFM </t>
  </si>
  <si>
    <t xml:space="preserve">Fixed Face Bar Grille, MFG: Price, Model: 530, Neck Size: 20" x 8", 340 CFM </t>
  </si>
  <si>
    <t xml:space="preserve">Fixed Face Bar Grille, MFG: Price, Model: 530, Neck Size: 24" x 10", 500 CFM </t>
  </si>
  <si>
    <t xml:space="preserve">Fixed Face Bar Grille, MFG: Price, Model: 530, Neck Size: 26" x 10", 900 CFM </t>
  </si>
  <si>
    <t xml:space="preserve">Fixed Face Bar Grille, MFG: Price, Model: 530, Neck Size: 30" x 12", 1175 CFM </t>
  </si>
  <si>
    <t xml:space="preserve">Fixed Face Bar Grille, MFG: Price, Model: 530, Neck Size: 30" x 12", 850 CFM </t>
  </si>
  <si>
    <t xml:space="preserve">Fixed Face Bar Grille, MFG: Price, Model: 530, Neck Size: 46" x 16", 1800 CFM </t>
  </si>
  <si>
    <t xml:space="preserve">Fixed Face Bar Grille, MFG: Price, Model: 530, Neck Size: 48" x 14", 2200 CFM </t>
  </si>
  <si>
    <t xml:space="preserve">Fixed Face Bar Grille, MFG: Price, Model: 530, Neck Size: 8" x 8", 120 CFM </t>
  </si>
  <si>
    <t xml:space="preserve">Fixed Face Bar Grille, MFG: Price, Model: 530, Neck Size: 8" x 8", 125 CFM </t>
  </si>
  <si>
    <t xml:space="preserve">Fixed Face Bar Grille, MFG: Price, Model: 530, Neck Size: 8" x 8", 650 CFM </t>
  </si>
  <si>
    <t xml:space="preserve">Fixed Face Bar Grille, MFG: Price, Model: 630, Neck Size: 10" x 10", 200 CFM </t>
  </si>
  <si>
    <t xml:space="preserve">Fixed Face Bar Grille, MFG: Price, Model: 630, Neck Size: 12" x 12", 360 CFM </t>
  </si>
  <si>
    <t xml:space="preserve">Fixed Face Bar Grille, MFG: Price, Model: 630, Neck Size: 14" x 10", 250 CFM </t>
  </si>
  <si>
    <t xml:space="preserve">Fixed Face Bar Grille, MFG: Price, Model: 630, Neck Size: 16" x 10", 470 CFM </t>
  </si>
  <si>
    <t xml:space="preserve">Fixed Face Bar Grille, MFG: Price, Model: 630, Neck Size: 22" x 8", 470 CFM </t>
  </si>
  <si>
    <t xml:space="preserve">Fixed Face Bar Grille, MFG: Price, Model: 630, Neck Size: 42" x 12", 1360 CFM </t>
  </si>
  <si>
    <t xml:space="preserve">Fixed Face Bar Grille, MFG: Price, Model: 630, Neck Size: 6" x 6", 75 CFM </t>
  </si>
  <si>
    <t xml:space="preserve">Fixed Face Bar Grille, MFG: Price, Model: 630, Neck Size: 8" x 8", 100 CFM </t>
  </si>
  <si>
    <t xml:space="preserve">Fixed Face Bar Grille, MFG: Price, Model: 630, Neck Size: 8" x 8", 125 CFM </t>
  </si>
  <si>
    <t xml:space="preserve">Fixed Face Bar Grille, MFG: Price, Model: 630, Neck Size: 8" x 8", 140 CFM </t>
  </si>
  <si>
    <t xml:space="preserve">Fixed Face Bar Grille, MFG: Price, Model: 630, Neck Size: 8" x 8", 200 CFM </t>
  </si>
  <si>
    <t xml:space="preserve">Spiral Duct Grille, MFG: Price, Model: SDGE, Neck Size: 16" x 10", 450 CFM </t>
  </si>
  <si>
    <t xml:space="preserve">4" x 5'-0" 2-Slot Linear Diffuser, MFG: Price, Model: SDS100, Neck Size: 7" Dia., 130 CFM </t>
  </si>
  <si>
    <t xml:space="preserve">4" x 5'-0" 2-Slot Linear Diffuser, MFG: Price, Model: SDS100, Neck Size: 7" Dia., 180 CFM </t>
  </si>
  <si>
    <t xml:space="preserve">8" x 5'-0" 4-Slot Linear Diffuser, MFG: Price, Model: SDR100, Neck Size: 12" Dia., 650 CFM </t>
  </si>
  <si>
    <t xml:space="preserve">3" x 4'-0" 1-Slot Linear Diffuser, MFG: Price, Model: JS230, Neck Size: 12" Dia., 440 CFM </t>
  </si>
  <si>
    <t xml:space="preserve">6" x 5'-0" 3-Slot Linear Diffuser, MFG: Price, Model: SDS100, Neck Size: 10" Dia., 215 CFM </t>
  </si>
  <si>
    <t xml:space="preserve">6" x 5'-0" 3-Slot Linear Diffuser, MFG: Price, Model: SDS100, Neck Size: 10" Dia., 225 CFM </t>
  </si>
  <si>
    <t xml:space="preserve">4" x 5'-0" 2-Slot Linear Diffuser, MFG: Price, Model: SDR100, Neck Size: 7" Dia., 130 CFM </t>
  </si>
  <si>
    <t xml:space="preserve">Honey E3POINT Gas Detection System W/ Catalytic Bead Sensor </t>
  </si>
  <si>
    <t xml:space="preserve">10' x 6' LED Video Wall Scoreboard </t>
  </si>
  <si>
    <t xml:space="preserve">8' x 4' LED Video Wall Scoreboard </t>
  </si>
  <si>
    <t xml:space="preserve">Projection Screen 116"W x 73"H </t>
  </si>
  <si>
    <t xml:space="preserve">Projection Screen 160"W x 100"H </t>
  </si>
  <si>
    <t xml:space="preserve">Wall Mounted 75" Flat Panel Display </t>
  </si>
  <si>
    <t xml:space="preserve">Removal of Concrete Paving </t>
  </si>
  <si>
    <t xml:space="preserve">Removal of Concrete Side Walk </t>
  </si>
  <si>
    <t xml:space="preserve">Mill Asphalt Paving, 2" Deep </t>
  </si>
  <si>
    <t xml:space="preserve">Removal of Fencing </t>
  </si>
  <si>
    <t xml:space="preserve">Removal of Flashing Beacon Traffic Control Light </t>
  </si>
  <si>
    <t xml:space="preserve">Asphalt Pavement </t>
  </si>
  <si>
    <t xml:space="preserve">Asphalt Paving Adjustment </t>
  </si>
  <si>
    <t xml:space="preserve">Concrete Paving </t>
  </si>
  <si>
    <t xml:space="preserve">Concrete Unit Pavers </t>
  </si>
  <si>
    <t xml:space="preserve">Decomposed Granite Paving </t>
  </si>
  <si>
    <t xml:space="preserve">Layered Green Roof </t>
  </si>
  <si>
    <t xml:space="preserve">Depressed Concrete Curb </t>
  </si>
  <si>
    <t xml:space="preserve">Handrail </t>
  </si>
  <si>
    <t xml:space="preserve">Bench </t>
  </si>
  <si>
    <t xml:space="preserve">Staggered Bluestone Stair </t>
  </si>
  <si>
    <t xml:space="preserve">New 2#10 + 1#10GND in Existing Conduit </t>
  </si>
  <si>
    <t xml:space="preserve">8" Concrete Slab on Grade W/ 6x6 - W4.0xW4.0 WWR Top &amp; #4 @12" EWB Over 4" Crushed Stone </t>
  </si>
  <si>
    <t xml:space="preserve">HSS 12x6x5/12 </t>
  </si>
  <si>
    <t xml:space="preserve">HSS 16x8x1/2 </t>
  </si>
  <si>
    <t xml:space="preserve">W 12X150 </t>
  </si>
  <si>
    <t xml:space="preserve">W 12x45 </t>
  </si>
  <si>
    <t xml:space="preserve">W 12x50 </t>
  </si>
  <si>
    <t xml:space="preserve">W 12x66 </t>
  </si>
  <si>
    <t xml:space="preserve">W 14X74 </t>
  </si>
  <si>
    <t xml:space="preserve">W 33x118 </t>
  </si>
  <si>
    <t xml:space="preserve">W 33x18 </t>
  </si>
  <si>
    <t xml:space="preserve">T2 </t>
  </si>
  <si>
    <t xml:space="preserve">98 DLH SP5 </t>
  </si>
  <si>
    <t xml:space="preserve">3'-0" x 7'-0" MDO Door, Hollow Metal Frame, Painted </t>
  </si>
  <si>
    <t xml:space="preserve">3'-0" x 7'-0" Wooden Door, Wooden Frame, Stain Finish, Tempered Glazing </t>
  </si>
  <si>
    <t xml:space="preserve">3'-0" x 8'-0" Wooden Door, Wooden Frame, Stain Finish, Tempered Glazing </t>
  </si>
  <si>
    <t xml:space="preserve">6'-0" x 7'-0" Alumnium Door, Aluminium Frame, Tempered Glazing </t>
  </si>
  <si>
    <t>Bleacers, MFG: IRWIN SEATING COMPANY, STYLE/COLOR: INFINITY SEAT | SEAT COLORS  : TBD | VINYL END CURTAIN, COLOR: TBD W/ CUSTOM LOGO</t>
  </si>
  <si>
    <t xml:space="preserve">3" Cold Water Pipe </t>
  </si>
  <si>
    <t xml:space="preserve">2-1/2" Hot Water Pipe </t>
  </si>
  <si>
    <t xml:space="preserve">2" Condensate Drain </t>
  </si>
  <si>
    <t xml:space="preserve">10" Rain Water Conductor </t>
  </si>
  <si>
    <t xml:space="preserve">4" Gas Pipe </t>
  </si>
  <si>
    <t xml:space="preserve">3" Gas Pipe </t>
  </si>
  <si>
    <t xml:space="preserve">1-1/2" Gas Pipe </t>
  </si>
  <si>
    <t xml:space="preserve">3" OFD </t>
  </si>
  <si>
    <t xml:space="preserve">16 x 6 Duct </t>
  </si>
  <si>
    <t xml:space="preserve">18 x 12 Duct </t>
  </si>
  <si>
    <t xml:space="preserve">20 x 8 Duct </t>
  </si>
  <si>
    <t xml:space="preserve">22 x 28 Duct </t>
  </si>
  <si>
    <t xml:space="preserve">24 x 10 Duct </t>
  </si>
  <si>
    <t xml:space="preserve">26 x 10 Duct </t>
  </si>
  <si>
    <t xml:space="preserve">26 x 16 Duct </t>
  </si>
  <si>
    <t xml:space="preserve">28 x 14 Duct </t>
  </si>
  <si>
    <t xml:space="preserve">30 x 10 Duct </t>
  </si>
  <si>
    <t xml:space="preserve">30 x 22 Duct </t>
  </si>
  <si>
    <t xml:space="preserve">36 x 30 Duct </t>
  </si>
  <si>
    <t xml:space="preserve">38 x 28 Duct </t>
  </si>
  <si>
    <t xml:space="preserve">44 x 14 Duct </t>
  </si>
  <si>
    <t xml:space="preserve">54 x 16 Duct </t>
  </si>
  <si>
    <t xml:space="preserve">82 x 42 Duct </t>
  </si>
  <si>
    <t xml:space="preserve">82" x 42" Duct </t>
  </si>
  <si>
    <t xml:space="preserve">24" x 24" Square, 3-Cone Diffuser, MFG: Price, Model: SCD, Neck Size: 10" Dia., 360 CFM </t>
  </si>
  <si>
    <t xml:space="preserve">24" x 24" Square, 3-Cone Diffuser, MFG: Price, Model: SCD, Neck Size: 12" Dia., 375 CFM </t>
  </si>
  <si>
    <t xml:space="preserve">24" x 24" Square, 3-Cone Diffuser, MFG: Price, Model: SCD, Neck Size: 12" Dia., 400 CFM </t>
  </si>
  <si>
    <t xml:space="preserve">24" x 24" Square, 3-Cone Diffuser, MFG: Price, Model: SCD, Neck Size: 8" Dia., 150 CFM </t>
  </si>
  <si>
    <t xml:space="preserve">Adjustable Face Bar Grille, MFG: Price, Model: 520, Neck Size: 18" x 10", 425 CFM </t>
  </si>
  <si>
    <t xml:space="preserve">Adjustable Face Bar Grille, MFG: Price, Model: 520, Neck Size: 18" x 10", 500 CFM </t>
  </si>
  <si>
    <t xml:space="preserve">Adjustable Face Bar Grille, MFG: Price, Model: 520, Neck Size: 18" x 12", 700 CFM </t>
  </si>
  <si>
    <t xml:space="preserve">Adjustable Face Bar Grille, MFG: Price, Model: 520, Neck Size: 8" x 8", 115 CFM </t>
  </si>
  <si>
    <t xml:space="preserve">Fixed Face Bar Grille, MFG: Price, Model: 530, Neck Size: 10" x 10", 215 CFM </t>
  </si>
  <si>
    <t xml:space="preserve">Fixed Face Bar Grille, MFG: Price, Model: 530, Neck Size: 10" x 10", 265 CFM </t>
  </si>
  <si>
    <t xml:space="preserve">Fixed Face Bar Grille, MFG: Price, Model: 530, Neck Size: 10" x 8", 150 CFM </t>
  </si>
  <si>
    <t xml:space="preserve">Fixed Face Bar Grille, MFG: Price, Model: 530, Neck Size: 12" x 12", 475 CFM </t>
  </si>
  <si>
    <t xml:space="preserve">Fixed Face Bar Grille, MFG: Price, Model: 530, Neck Size: 16" x 10", 400 CFM </t>
  </si>
  <si>
    <t xml:space="preserve">Fixed Face Bar Grille, MFG: Price, Model: 530, Neck Size: 18" x 8", 420 CFM </t>
  </si>
  <si>
    <t xml:space="preserve">Fixed Face Bar Grille, MFG: Price, Model: 530, Neck Size: 20" x 20", 1100 CFM </t>
  </si>
  <si>
    <t xml:space="preserve">Fixed Face Bar Grille, MFG: Price, Model: 530, Neck Size: 20" x 8", 400 CFM </t>
  </si>
  <si>
    <t xml:space="preserve">Fixed Face Bar Grille, MFG: Price, Model: 530, Neck Size: 24" x 8", 460 CFM </t>
  </si>
  <si>
    <t xml:space="preserve">Fixed Face Bar Grille, MFG: Price, Model: 530, Neck Size: 30" x 12", 1200 CFM </t>
  </si>
  <si>
    <t xml:space="preserve">Fixed Face Bar Grille, MFG: Price, Model: 530, Neck Size: 38" x 12", 1600 CFM </t>
  </si>
  <si>
    <t xml:space="preserve">Fixed Face Bar Grille, MFG: Price, Model: 530, Neck Size: 6" x 6", 100 CFM </t>
  </si>
  <si>
    <t xml:space="preserve">Fixed Face Bar Grille, MFG: Price, Model: 530, Neck Size: 6" x 6", 70 CFM </t>
  </si>
  <si>
    <t xml:space="preserve">Fixed Face Bar Grille, MFG: Price, Model: 530, Neck Size: 8" x 8", 160 CFM </t>
  </si>
  <si>
    <t xml:space="preserve">Fixed Face Bar Grille, MFG: Price, Model: 630, Neck Size: 8" x 8", 175 CFM </t>
  </si>
  <si>
    <t xml:space="preserve">Fixed Face Bar Grille, MFG: Price, Model: 630, Neck Size: 8" x 8", 210 CFM </t>
  </si>
  <si>
    <t xml:space="preserve">Spiral Duct Grille, MFG: Price, Model: SDGE, Neck Size: 16" x 10", 350 CFM </t>
  </si>
  <si>
    <t xml:space="preserve">Spiral Duct Grille, MFG: Price, Model: SDGE, Neck Size: 16" x 10", 400 CFM </t>
  </si>
  <si>
    <t xml:space="preserve">Spiral Duct Grille, MFG: Price, Model: SDGE, Neck Size: 20" x 10", 550 CFM </t>
  </si>
  <si>
    <t xml:space="preserve">Spiral Duct Grille, MFG: Price, Model: SDGE, Neck Size: 36" x 12", 1415 CFM </t>
  </si>
  <si>
    <t xml:space="preserve">Heavy Duty Fixed Bar Grille, MFG: Price, Model: 99, Neck Size: 96" x 48", 17000 CFM </t>
  </si>
  <si>
    <t xml:space="preserve">Removal of Concrete Landing </t>
  </si>
  <si>
    <t xml:space="preserve">Removal of Trees </t>
  </si>
  <si>
    <t xml:space="preserve">Porous Asphalt Pavement </t>
  </si>
  <si>
    <t xml:space="preserve">Porous Concrete Pavement </t>
  </si>
  <si>
    <t xml:space="preserve">Wood Plank Fence </t>
  </si>
  <si>
    <t xml:space="preserve">4" Concrete Slab on Grade W/ 6x6 - W1.4xW1.4 WWR Over 4" Crushed Stone </t>
  </si>
  <si>
    <t xml:space="preserve">HSS 14x6x1/2 </t>
  </si>
  <si>
    <t xml:space="preserve">HSS 20X8X1/2 </t>
  </si>
  <si>
    <t xml:space="preserve">HSS 8X4X5/16 </t>
  </si>
  <si>
    <t xml:space="preserve">HSS 8x8x3/8 </t>
  </si>
  <si>
    <t xml:space="preserve">W 10x22 </t>
  </si>
  <si>
    <t xml:space="preserve">W 12x40 </t>
  </si>
  <si>
    <t xml:space="preserve">W 12X44 </t>
  </si>
  <si>
    <t xml:space="preserve">W 16X31 </t>
  </si>
  <si>
    <t xml:space="preserve">W 16x89 </t>
  </si>
  <si>
    <t xml:space="preserve">W 18X46 </t>
  </si>
  <si>
    <t xml:space="preserve">W 24x62 </t>
  </si>
  <si>
    <t xml:space="preserve">W 27x84 </t>
  </si>
  <si>
    <t xml:space="preserve">W 8x31 </t>
  </si>
  <si>
    <t xml:space="preserve">3'-0" x 7'-0" Aluminium Door, Aluminium Frame, Tempered Glazing </t>
  </si>
  <si>
    <t xml:space="preserve">3'-0" x 7'-0" Hollow Metal Door, Hollow Metal Frame, Painted </t>
  </si>
  <si>
    <t>PORCELAIN TILE (GRAY, YELLOW, BLUE), MFG: DALTILE, STYLE/COLOR: NATURAL HUES | SIZE: 2" X 8" X 5/16" THK |  COLOR: QH08 CINDER, QH97 DAISY, (BLUE TBD) | EPOXY GROUT, COLOR: TBD</t>
  </si>
  <si>
    <t xml:space="preserve">1-1/2" Hot Water Pipe </t>
  </si>
  <si>
    <t xml:space="preserve">6" Vent Pipe </t>
  </si>
  <si>
    <t xml:space="preserve">1-1/4" Gas Pipe </t>
  </si>
  <si>
    <t xml:space="preserve">14 x 10 Duct </t>
  </si>
  <si>
    <t xml:space="preserve">20 x 12 Duct </t>
  </si>
  <si>
    <t xml:space="preserve">22 x 6 Duct </t>
  </si>
  <si>
    <t xml:space="preserve">24 x 12 Duct </t>
  </si>
  <si>
    <t xml:space="preserve">24 x 8 Duct </t>
  </si>
  <si>
    <t xml:space="preserve">22" Duct W/ 1" Acoustical Lining </t>
  </si>
  <si>
    <t xml:space="preserve">10" Flexible Duct </t>
  </si>
  <si>
    <t xml:space="preserve">24" x 24" Square, 3-Cone Diffuser, MFG: Price, Model: SCD, Neck Size: 6" Dia., 50 CFM </t>
  </si>
  <si>
    <t xml:space="preserve">12" x 12" Square, 3-Cone Diffuser, MFG: Price, Model: SCD, Neck Size: 6" Dia., 50 CFM </t>
  </si>
  <si>
    <t xml:space="preserve">Fixed Face Bar Grille, MFG: Price, Model: 530, Neck Size: 10" x 10", 200 CFM </t>
  </si>
  <si>
    <t xml:space="preserve">Fixed Face Bar Grille, MFG: Price, Model: 530, Neck Size: 8" x 8", 150 CFM </t>
  </si>
  <si>
    <t xml:space="preserve">Removal of Chain Link Fence &amp; Backstop </t>
  </si>
  <si>
    <t xml:space="preserve">Removal of Concrete Curb </t>
  </si>
  <si>
    <t xml:space="preserve">Removal of Concrete Stairs </t>
  </si>
  <si>
    <t xml:space="preserve">Concrete Unit Pavers Type 2 </t>
  </si>
  <si>
    <t xml:space="preserve">ADA Ramp </t>
  </si>
  <si>
    <t xml:space="preserve">Vegetation Stabilization Blanket </t>
  </si>
  <si>
    <t xml:space="preserve">W 10x26 </t>
  </si>
  <si>
    <t xml:space="preserve">W 16X19 </t>
  </si>
  <si>
    <t xml:space="preserve">W 8x18 </t>
  </si>
  <si>
    <t xml:space="preserve">2-1/2" Cold Water Pipe </t>
  </si>
  <si>
    <t xml:space="preserve">10 x 10 Duct </t>
  </si>
  <si>
    <t xml:space="preserve">14 x 12 Duct </t>
  </si>
  <si>
    <t xml:space="preserve">16 x 12 Duct </t>
  </si>
  <si>
    <t xml:space="preserve">16 x 16 Duct </t>
  </si>
  <si>
    <t xml:space="preserve">16 x 8 Duct </t>
  </si>
  <si>
    <t xml:space="preserve">18 x 6 Duct </t>
  </si>
  <si>
    <t xml:space="preserve">18 x 8 Duct </t>
  </si>
  <si>
    <t xml:space="preserve">26 x 14 Duct </t>
  </si>
  <si>
    <t xml:space="preserve">32 x 16 Duct </t>
  </si>
  <si>
    <t xml:space="preserve">84" x 30" Duct </t>
  </si>
  <si>
    <t xml:space="preserve">16" Round Duct </t>
  </si>
  <si>
    <t xml:space="preserve">28" Round Duct W/ 1" Acoustical Lining </t>
  </si>
  <si>
    <t xml:space="preserve">30" Round Duct W/ 1" Acoustical Lining </t>
  </si>
  <si>
    <t xml:space="preserve">48" Round Duct W/ 1" Acoustical Lining </t>
  </si>
  <si>
    <t xml:space="preserve">6" Round Duct </t>
  </si>
  <si>
    <t xml:space="preserve">24" x 24" Square, 3-Cone Diffuser, MFG: Price, Model: SCD, Neck Size: 10" Dia., 275 CFM </t>
  </si>
  <si>
    <t xml:space="preserve">24" x 24" Square, 3-Cone Diffuser, MFG: Price, Model: SCD, Neck Size: 8" Dia., 225 CFM </t>
  </si>
  <si>
    <t xml:space="preserve">Fixed Face Bar Grille, MFG: Price, Model: 530, Neck Size: 14" x 8", 200 CFM </t>
  </si>
  <si>
    <t xml:space="preserve">Fixed Face Bar Grille, MFG: Price, Model: 530, Neck Size: 56" x 18", 2200 CFM </t>
  </si>
  <si>
    <t xml:space="preserve">Fixed Face Bar Grille, MFG: Price, Model: 530, Neck Size: 8" x 8", 100 CFM </t>
  </si>
  <si>
    <t xml:space="preserve">Fixed Face Bar Grille, MFG: Price, Model: 530, Neck Size: 8" x 8", 200 CFM </t>
  </si>
  <si>
    <t xml:space="preserve">Fixed Face Bar Grille, MFG: Price, Model: 630, Neck Size: 6" x 6", 100 CFM </t>
  </si>
  <si>
    <t xml:space="preserve">Fixed Face Bar Grille, MFG: Price, Model: 630, Neck Size: 6" x 6", 50 CFM </t>
  </si>
  <si>
    <t xml:space="preserve">Special Purpose Receptacle </t>
  </si>
  <si>
    <t xml:space="preserve">12" Composite Filter Sock </t>
  </si>
  <si>
    <t xml:space="preserve">Construction Fence </t>
  </si>
  <si>
    <t xml:space="preserve">HSS 12x6x5/16 </t>
  </si>
  <si>
    <t xml:space="preserve">HSS 14X6X3/8 </t>
  </si>
  <si>
    <t xml:space="preserve">W 18x60 </t>
  </si>
  <si>
    <t xml:space="preserve">W 18X60 </t>
  </si>
  <si>
    <t xml:space="preserve">W 21X19 </t>
  </si>
  <si>
    <t xml:space="preserve">W 24x68 </t>
  </si>
  <si>
    <t xml:space="preserve">98 DLH SP3 </t>
  </si>
  <si>
    <t xml:space="preserve">1-1/4" Hot Water Pipe </t>
  </si>
  <si>
    <t xml:space="preserve">8" Rain Water Conductor </t>
  </si>
  <si>
    <t xml:space="preserve">12 x 4 Duct </t>
  </si>
  <si>
    <t xml:space="preserve">30 x 12 Duct </t>
  </si>
  <si>
    <t xml:space="preserve">32 x 10 Duct </t>
  </si>
  <si>
    <t xml:space="preserve">44 x 12 Duct </t>
  </si>
  <si>
    <t xml:space="preserve">48 x 12 Duct </t>
  </si>
  <si>
    <t xml:space="preserve">6" Flexible Duct </t>
  </si>
  <si>
    <t xml:space="preserve">Adjustable Face Bar Grille, MFG: Price, Model: 520, Neck Size: 10" x 10", 200 CFM </t>
  </si>
  <si>
    <t xml:space="preserve">Stabilized Turf </t>
  </si>
  <si>
    <t xml:space="preserve">W 16x31 </t>
  </si>
  <si>
    <t xml:space="preserve">W 18x40 </t>
  </si>
  <si>
    <t xml:space="preserve">W 21X50 </t>
  </si>
  <si>
    <t xml:space="preserve">W 30X90 </t>
  </si>
  <si>
    <t xml:space="preserve">16 x 14 Duct </t>
  </si>
  <si>
    <t xml:space="preserve">22 x 10 Duct </t>
  </si>
  <si>
    <t xml:space="preserve">22 x 12 Duct </t>
  </si>
  <si>
    <t xml:space="preserve">24" x 24" Square, 3-Cone Diffuser, MFG: Price, Model: SCD, Neck Size: 8" Dia., 200 CFM </t>
  </si>
  <si>
    <t xml:space="preserve">Fixed Face Bar Grille, MFG: Price, Model: 630, Neck Size: 8" x 8", 150 CFM </t>
  </si>
  <si>
    <t xml:space="preserve">W 18X40 </t>
  </si>
  <si>
    <t xml:space="preserve">2" Vent Pipe </t>
  </si>
  <si>
    <t xml:space="preserve">2" Gas Pipe </t>
  </si>
  <si>
    <t xml:space="preserve">14 x 8 Duct </t>
  </si>
  <si>
    <t xml:space="preserve">W 18x55 </t>
  </si>
  <si>
    <t xml:space="preserve">80DLH SP2 </t>
  </si>
  <si>
    <t xml:space="preserve">1" Hot Water Pipe </t>
  </si>
  <si>
    <t xml:space="preserve">3" Vent Pipe </t>
  </si>
  <si>
    <t xml:space="preserve">16 x 10 Duct </t>
  </si>
  <si>
    <t xml:space="preserve">18 x 10 Duct </t>
  </si>
  <si>
    <t xml:space="preserve">W 21x44 </t>
  </si>
  <si>
    <t xml:space="preserve">1-1/4" Condensate Drain </t>
  </si>
  <si>
    <t xml:space="preserve">10 x 8 Duct </t>
  </si>
  <si>
    <t xml:space="preserve">14 x 6 Duct </t>
  </si>
  <si>
    <t xml:space="preserve">22 x 8 Duct </t>
  </si>
  <si>
    <t xml:space="preserve">8 x 4 Duct </t>
  </si>
  <si>
    <t xml:space="preserve">3/4" Hot Water Return Pipe </t>
  </si>
  <si>
    <t xml:space="preserve">12 x 10 Duct </t>
  </si>
  <si>
    <t xml:space="preserve">10" Round Duct </t>
  </si>
  <si>
    <t xml:space="preserve">Adjustable Face Bar Grille, MFG: Price, Model: 520, Neck Size: 6" x 6", 50 CFM </t>
  </si>
  <si>
    <t xml:space="preserve">98 DLH SP4 </t>
  </si>
  <si>
    <t xml:space="preserve">12" Flexible Duct </t>
  </si>
  <si>
    <t xml:space="preserve">GFI Duplex Receptacle (Weather Proof) </t>
  </si>
  <si>
    <t xml:space="preserve">Removal of Asphalt Paving </t>
  </si>
  <si>
    <t xml:space="preserve">W 21X44 </t>
  </si>
  <si>
    <t xml:space="preserve">2" Cold Water Pipe </t>
  </si>
  <si>
    <t xml:space="preserve">10 x 6 Duct </t>
  </si>
  <si>
    <t xml:space="preserve">20 x 10 Duct </t>
  </si>
  <si>
    <t xml:space="preserve">8" Round Duct </t>
  </si>
  <si>
    <t xml:space="preserve">W 24x55 </t>
  </si>
  <si>
    <t xml:space="preserve">W 24X55 </t>
  </si>
  <si>
    <t xml:space="preserve">6" Sanitary Pipe </t>
  </si>
  <si>
    <t xml:space="preserve">8 x 6 Duct </t>
  </si>
  <si>
    <t xml:space="preserve">14" Round Duct </t>
  </si>
  <si>
    <t xml:space="preserve">Bluestone Paving Band </t>
  </si>
  <si>
    <t xml:space="preserve">6" Rain Water Conductor </t>
  </si>
  <si>
    <t xml:space="preserve">12" Round Duct </t>
  </si>
  <si>
    <t xml:space="preserve">W 16X36 </t>
  </si>
  <si>
    <t xml:space="preserve">W 27X84 </t>
  </si>
  <si>
    <t xml:space="preserve">3/4" Hot Water Pipe </t>
  </si>
  <si>
    <t xml:space="preserve">4" Rain Water Conductor </t>
  </si>
  <si>
    <t xml:space="preserve">8 x 8 Duct </t>
  </si>
  <si>
    <t xml:space="preserve">Fixed Face Bar Grille, MFG: Price, Model: 530, Neck Size: 6" x 6", 50 CFM </t>
  </si>
  <si>
    <t xml:space="preserve">Double Duplex Receptacle </t>
  </si>
  <si>
    <t xml:space="preserve">W 33x130 </t>
  </si>
  <si>
    <t xml:space="preserve">4" Sanitary Pipe </t>
  </si>
  <si>
    <t xml:space="preserve">12 x 6 Duct </t>
  </si>
  <si>
    <t xml:space="preserve">C 10x15.3 </t>
  </si>
  <si>
    <t xml:space="preserve">2" Sanitary Pipe </t>
  </si>
  <si>
    <t xml:space="preserve">GFI Duplex Receptacle </t>
  </si>
  <si>
    <t xml:space="preserve">W 18x35 </t>
  </si>
  <si>
    <t xml:space="preserve">W 18X35 </t>
  </si>
  <si>
    <t xml:space="preserve">12 x 8 Duct </t>
  </si>
  <si>
    <t xml:space="preserve">W 12X26 </t>
  </si>
  <si>
    <t xml:space="preserve">4" Vent Pipe </t>
  </si>
  <si>
    <t xml:space="preserve">6 x 6 Duct </t>
  </si>
  <si>
    <t xml:space="preserve">W 16x36 </t>
  </si>
  <si>
    <t>C 8x13.7</t>
  </si>
  <si>
    <t>W 12x19</t>
  </si>
  <si>
    <t>W 12X19</t>
  </si>
  <si>
    <t>W 12x26</t>
  </si>
  <si>
    <t>HSS4x4x3/8</t>
  </si>
  <si>
    <t>W 16x26</t>
  </si>
  <si>
    <t>W 16X26</t>
  </si>
  <si>
    <t>W 14x22</t>
  </si>
  <si>
    <t>T1</t>
  </si>
  <si>
    <t xml:space="preserve">(8) 4" Schedule 40 PVC Conduits + (6) 4" Schedule 40 PVC Spare Conduits </t>
  </si>
  <si>
    <t>9'-4" x 2'-0" Cont. Concrete Footing W/ Reinf.</t>
  </si>
  <si>
    <t>HSS6x6x3/8</t>
  </si>
  <si>
    <t>W10x33</t>
  </si>
  <si>
    <t>HSS10x10x3/8</t>
  </si>
  <si>
    <t>HSS5x5x5/16</t>
  </si>
  <si>
    <t>HSS12x8x3/8</t>
  </si>
  <si>
    <t>1" Condensate Drain</t>
  </si>
  <si>
    <t>3" Sanitary Pipe</t>
  </si>
  <si>
    <t>6 x 4 Duct</t>
  </si>
  <si>
    <t>8" CMU Wall w/#5 @ 48" O.C vert. reinforcement</t>
  </si>
  <si>
    <t>4" CMU Wall w/#5 @ 48" O.C vert. reinforcement</t>
  </si>
  <si>
    <t>10 x 4 Duct</t>
  </si>
  <si>
    <t xml:space="preserve">Duplex Receptacle </t>
  </si>
  <si>
    <t>UNIT COST (LAB+MAT)</t>
  </si>
  <si>
    <t>UNIT MAT COST</t>
  </si>
  <si>
    <t xml:space="preserve">W 10 x 10 </t>
  </si>
  <si>
    <t xml:space="preserve">HSS 8 x 8 x 3/8 </t>
  </si>
  <si>
    <t>3. Feel free to contact us for any queries or suggestions.</t>
  </si>
  <si>
    <t xml:space="preserve">ADDRESS : </t>
  </si>
  <si>
    <t xml:space="preserve">PROJECT :  </t>
  </si>
  <si>
    <t>UNIT LABOR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</si>
</sst>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_);_(&quot;$&quot;* \(#,##0.0\);_(&quot;$&quot;* &quot;-&quot;??_);_(@_)"/>
  </numFmts>
  <fonts count="30" x14ac:knownFonts="1">
    <font>
      <sz val="12"/>
      <name val="Arial"/>
    </font>
    <font>
      <sz val="11"/>
      <color theme="1"/>
      <name val="Calibri"/>
      <family val="2"/>
      <scheme val="minor"/>
    </font>
    <font>
      <sz val="10"/>
      <name val="Arial"/>
      <family val="2"/>
    </font>
    <font>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1"/>
      <color theme="1"/>
      <name val="Calibri"/>
      <family val="2"/>
      <scheme val="minor"/>
    </font>
    <font>
      <b/>
      <sz val="11"/>
      <name val="Calibri"/>
      <family val="2"/>
      <scheme val="minor"/>
    </font>
    <font>
      <sz val="11"/>
      <name val="Calibri"/>
      <family val="2"/>
      <scheme val="minor"/>
    </font>
    <font>
      <sz val="12"/>
      <name val="Arial"/>
      <family val="2"/>
    </font>
    <font>
      <sz val="12"/>
      <name val="Arial"/>
      <family val="2"/>
    </font>
    <font>
      <b/>
      <sz val="11"/>
      <color theme="0" tint="-0.499984740745262"/>
      <name val="Calibri"/>
      <family val="2"/>
      <scheme val="minor"/>
    </font>
    <font>
      <b/>
      <sz val="11"/>
      <color theme="9" tint="-0.249977111117893"/>
      <name val="Calibri"/>
      <family val="2"/>
      <scheme val="minor"/>
    </font>
    <font>
      <b/>
      <sz val="14"/>
      <color theme="9"/>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rgb="FF48B8E0"/>
        <bgColor indexed="64"/>
      </patternFill>
    </fill>
    <fill>
      <patternFill patternType="solid">
        <fgColor rgb="FFD4F5FA"/>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theme="1"/>
      </top>
      <bottom style="medium">
        <color theme="1"/>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thin">
        <color indexed="64"/>
      </right>
      <top style="thin">
        <color indexed="64"/>
      </top>
      <bottom style="medium">
        <color theme="1"/>
      </bottom>
      <diagonal/>
    </border>
    <border>
      <left/>
      <right/>
      <top style="thin">
        <color indexed="64"/>
      </top>
      <bottom style="medium">
        <color theme="1"/>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style="thin">
        <color indexed="64"/>
      </left>
      <right style="thin">
        <color indexed="64"/>
      </right>
      <top style="medium">
        <color theme="1"/>
      </top>
      <bottom style="thin">
        <color indexed="64"/>
      </bottom>
      <diagonal/>
    </border>
    <border>
      <left/>
      <right/>
      <top/>
      <bottom style="thin">
        <color indexed="64"/>
      </bottom>
      <diagonal/>
    </border>
    <border>
      <left style="thin">
        <color indexed="64"/>
      </left>
      <right/>
      <top style="medium">
        <color theme="1"/>
      </top>
      <bottom/>
      <diagonal/>
    </border>
    <border>
      <left/>
      <right/>
      <top style="medium">
        <color theme="1"/>
      </top>
      <bottom/>
      <diagonal/>
    </border>
    <border>
      <left style="thin">
        <color indexed="64"/>
      </left>
      <right style="thin">
        <color indexed="64"/>
      </right>
      <top style="medium">
        <color theme="1"/>
      </top>
      <bottom/>
      <diagonal/>
    </border>
    <border>
      <left/>
      <right style="thin">
        <color indexed="64"/>
      </right>
      <top style="medium">
        <color theme="1"/>
      </top>
      <bottom style="medium">
        <color theme="1"/>
      </bottom>
      <diagonal/>
    </border>
    <border>
      <left/>
      <right style="thin">
        <color indexed="64"/>
      </right>
      <top style="medium">
        <color theme="1"/>
      </top>
      <bottom style="thin">
        <color indexed="64"/>
      </bottom>
      <diagonal/>
    </border>
    <border>
      <left/>
      <right/>
      <top style="thin">
        <color indexed="64"/>
      </top>
      <bottom style="thin">
        <color indexed="64"/>
      </bottom>
      <diagonal/>
    </border>
  </borders>
  <cellStyleXfs count="93">
    <xf numFmtId="0" fontId="0" fillId="0" borderId="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21" borderId="2" applyNumberFormat="0" applyAlignment="0" applyProtection="0"/>
    <xf numFmtId="0" fontId="8" fillId="21" borderId="2" applyNumberFormat="0" applyAlignment="0" applyProtection="0"/>
    <xf numFmtId="43" fontId="21"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3"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7" borderId="1" applyNumberFormat="0" applyAlignment="0" applyProtection="0"/>
    <xf numFmtId="0" fontId="14" fillId="7" borderId="1" applyNumberFormat="0" applyAlignment="0" applyProtection="0"/>
    <xf numFmtId="0" fontId="15" fillId="0" borderId="6" applyNumberFormat="0" applyFill="0" applyAlignment="0" applyProtection="0"/>
    <xf numFmtId="0" fontId="15" fillId="0" borderId="6" applyNumberFormat="0" applyFill="0" applyAlignment="0" applyProtection="0"/>
    <xf numFmtId="0" fontId="16" fillId="22" borderId="0" applyNumberFormat="0" applyBorder="0" applyAlignment="0" applyProtection="0"/>
    <xf numFmtId="0" fontId="16" fillId="22" borderId="0" applyNumberFormat="0" applyBorder="0" applyAlignment="0" applyProtection="0"/>
    <xf numFmtId="0" fontId="2" fillId="0" borderId="0"/>
    <xf numFmtId="0" fontId="21" fillId="0" borderId="0"/>
    <xf numFmtId="0" fontId="3" fillId="0" borderId="0"/>
    <xf numFmtId="0" fontId="22" fillId="0" borderId="0"/>
    <xf numFmtId="0" fontId="3" fillId="23" borderId="7" applyNumberFormat="0" applyFont="0" applyAlignment="0" applyProtection="0"/>
    <xf numFmtId="0" fontId="3" fillId="23" borderId="7" applyNumberFormat="0" applyFont="0" applyAlignment="0" applyProtection="0"/>
    <xf numFmtId="0" fontId="17" fillId="20" borderId="8" applyNumberFormat="0" applyAlignment="0" applyProtection="0"/>
    <xf numFmtId="0" fontId="17" fillId="20" borderId="8"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19" fillId="0" borderId="9"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 fillId="0" borderId="0"/>
    <xf numFmtId="0" fontId="3" fillId="0" borderId="0"/>
    <xf numFmtId="43" fontId="3" fillId="0" borderId="0" applyFont="0" applyFill="0" applyBorder="0" applyAlignment="0" applyProtection="0"/>
    <xf numFmtId="44" fontId="25" fillId="0" borderId="0" applyFont="0" applyFill="0" applyBorder="0" applyAlignment="0" applyProtection="0"/>
    <xf numFmtId="9" fontId="26" fillId="0" borderId="0" applyFont="0" applyFill="0" applyBorder="0" applyAlignment="0" applyProtection="0"/>
  </cellStyleXfs>
  <cellXfs count="121">
    <xf numFmtId="0" fontId="0" fillId="0" borderId="0" xfId="0"/>
    <xf numFmtId="0" fontId="24" fillId="0" borderId="0" xfId="0" applyFont="1" applyFill="1" applyBorder="1" applyAlignment="1">
      <alignment vertical="top"/>
    </xf>
    <xf numFmtId="0" fontId="24" fillId="0" borderId="0" xfId="0" applyFont="1" applyAlignment="1">
      <alignment vertical="top"/>
    </xf>
    <xf numFmtId="9" fontId="24" fillId="0" borderId="0" xfId="0" applyNumberFormat="1" applyFont="1" applyBorder="1" applyAlignment="1">
      <alignment vertical="top"/>
    </xf>
    <xf numFmtId="0" fontId="24" fillId="0" borderId="0" xfId="0" applyFont="1" applyFill="1" applyBorder="1" applyAlignment="1">
      <alignment horizontal="center" vertical="top"/>
    </xf>
    <xf numFmtId="165" fontId="23" fillId="0" borderId="12" xfId="0" applyNumberFormat="1" applyFont="1" applyFill="1" applyBorder="1" applyAlignment="1">
      <alignment vertical="top"/>
    </xf>
    <xf numFmtId="0" fontId="24" fillId="0" borderId="0" xfId="0" applyFont="1" applyFill="1" applyAlignment="1">
      <alignment vertical="top"/>
    </xf>
    <xf numFmtId="0" fontId="23" fillId="24" borderId="11" xfId="0" applyFont="1" applyFill="1" applyBorder="1" applyAlignment="1">
      <alignment horizontal="center" vertical="top"/>
    </xf>
    <xf numFmtId="0" fontId="23" fillId="24" borderId="11" xfId="0" applyFont="1" applyFill="1" applyBorder="1" applyAlignment="1">
      <alignment vertical="top"/>
    </xf>
    <xf numFmtId="165" fontId="23" fillId="24" borderId="13" xfId="0" applyNumberFormat="1" applyFont="1" applyFill="1" applyBorder="1" applyAlignment="1">
      <alignment vertical="top"/>
    </xf>
    <xf numFmtId="0" fontId="24" fillId="0" borderId="0" xfId="0" applyFont="1" applyAlignment="1">
      <alignment horizontal="center" vertical="top"/>
    </xf>
    <xf numFmtId="0" fontId="23" fillId="0" borderId="0" xfId="0" applyFont="1" applyFill="1" applyBorder="1" applyAlignment="1">
      <alignment vertical="top"/>
    </xf>
    <xf numFmtId="0" fontId="24" fillId="0" borderId="17" xfId="0" applyFont="1" applyBorder="1" applyAlignment="1">
      <alignment vertical="top"/>
    </xf>
    <xf numFmtId="9" fontId="24" fillId="0" borderId="17" xfId="0" applyNumberFormat="1" applyFont="1" applyBorder="1" applyAlignment="1">
      <alignment vertical="top"/>
    </xf>
    <xf numFmtId="1" fontId="24" fillId="0" borderId="17" xfId="0" applyNumberFormat="1" applyFont="1" applyBorder="1" applyAlignment="1">
      <alignment vertical="top"/>
    </xf>
    <xf numFmtId="0" fontId="24" fillId="0" borderId="17" xfId="0" applyFont="1" applyBorder="1" applyAlignment="1">
      <alignment horizontal="center" vertical="top"/>
    </xf>
    <xf numFmtId="0" fontId="24" fillId="0" borderId="16" xfId="0" applyFont="1" applyBorder="1" applyAlignment="1">
      <alignment vertical="top"/>
    </xf>
    <xf numFmtId="1" fontId="24" fillId="0" borderId="12" xfId="0" applyNumberFormat="1" applyFont="1" applyFill="1" applyBorder="1" applyAlignment="1">
      <alignment vertical="top"/>
    </xf>
    <xf numFmtId="1" fontId="24" fillId="0" borderId="16" xfId="0" applyNumberFormat="1" applyFont="1" applyFill="1" applyBorder="1" applyAlignment="1">
      <alignment vertical="top"/>
    </xf>
    <xf numFmtId="1" fontId="23" fillId="24" borderId="13" xfId="0" applyNumberFormat="1" applyFont="1" applyFill="1" applyBorder="1" applyAlignment="1">
      <alignment vertical="top"/>
    </xf>
    <xf numFmtId="44" fontId="24" fillId="0" borderId="0" xfId="91" applyFont="1" applyFill="1" applyBorder="1" applyAlignment="1">
      <alignment vertical="top"/>
    </xf>
    <xf numFmtId="44" fontId="23" fillId="24" borderId="11" xfId="91" applyFont="1" applyFill="1" applyBorder="1" applyAlignment="1">
      <alignment vertical="top"/>
    </xf>
    <xf numFmtId="44" fontId="24" fillId="0" borderId="17" xfId="91" applyFont="1" applyBorder="1" applyAlignment="1">
      <alignment vertical="top"/>
    </xf>
    <xf numFmtId="44" fontId="24" fillId="0" borderId="0" xfId="91" applyFont="1" applyAlignment="1">
      <alignment vertical="top"/>
    </xf>
    <xf numFmtId="166" fontId="24" fillId="0" borderId="0" xfId="91" applyNumberFormat="1" applyFont="1" applyFill="1" applyBorder="1" applyAlignment="1">
      <alignment vertical="top"/>
    </xf>
    <xf numFmtId="166" fontId="23" fillId="24" borderId="11" xfId="91" applyNumberFormat="1" applyFont="1" applyFill="1" applyBorder="1" applyAlignment="1">
      <alignment vertical="top"/>
    </xf>
    <xf numFmtId="166" fontId="24" fillId="0" borderId="17" xfId="91" applyNumberFormat="1" applyFont="1" applyBorder="1" applyAlignment="1">
      <alignment vertical="top"/>
    </xf>
    <xf numFmtId="166" fontId="24" fillId="0" borderId="0" xfId="91" applyNumberFormat="1" applyFont="1" applyAlignment="1">
      <alignment vertical="top"/>
    </xf>
    <xf numFmtId="9" fontId="24" fillId="0" borderId="0" xfId="0" applyNumberFormat="1" applyFont="1" applyBorder="1" applyAlignment="1">
      <alignment vertical="center"/>
    </xf>
    <xf numFmtId="0" fontId="24" fillId="0" borderId="0" xfId="0" applyFont="1" applyFill="1" applyBorder="1" applyAlignment="1">
      <alignment horizontal="center" vertical="center"/>
    </xf>
    <xf numFmtId="1" fontId="24" fillId="0" borderId="12" xfId="0" applyNumberFormat="1" applyFont="1" applyFill="1" applyBorder="1" applyAlignment="1">
      <alignment horizontal="center"/>
    </xf>
    <xf numFmtId="0" fontId="24" fillId="0" borderId="0" xfId="0" applyFont="1" applyBorder="1"/>
    <xf numFmtId="41" fontId="24" fillId="0" borderId="0" xfId="0" applyNumberFormat="1" applyFont="1" applyFill="1" applyBorder="1" applyAlignment="1">
      <alignment horizontal="right" vertical="center"/>
    </xf>
    <xf numFmtId="166" fontId="24" fillId="0" borderId="0" xfId="0" applyNumberFormat="1" applyFont="1" applyBorder="1" applyAlignment="1">
      <alignment vertical="center"/>
    </xf>
    <xf numFmtId="165" fontId="24" fillId="0" borderId="0" xfId="0" applyNumberFormat="1" applyFont="1" applyBorder="1" applyAlignment="1">
      <alignment vertical="center"/>
    </xf>
    <xf numFmtId="0" fontId="24" fillId="0" borderId="12" xfId="0" applyFont="1" applyBorder="1"/>
    <xf numFmtId="166" fontId="24" fillId="0" borderId="0" xfId="91" applyNumberFormat="1" applyFont="1"/>
    <xf numFmtId="0" fontId="24" fillId="0" borderId="0" xfId="0" applyFont="1"/>
    <xf numFmtId="0" fontId="23" fillId="24" borderId="18" xfId="0" applyFont="1" applyFill="1" applyBorder="1" applyAlignment="1">
      <alignment horizontal="center" vertical="center"/>
    </xf>
    <xf numFmtId="0" fontId="23" fillId="24" borderId="19" xfId="0" applyFont="1" applyFill="1" applyBorder="1" applyAlignment="1">
      <alignment horizontal="center" vertical="center"/>
    </xf>
    <xf numFmtId="0" fontId="23" fillId="24" borderId="20" xfId="0" applyFont="1" applyFill="1" applyBorder="1" applyAlignment="1">
      <alignment horizontal="center" vertical="center" wrapText="1"/>
    </xf>
    <xf numFmtId="44" fontId="23" fillId="24" borderId="21" xfId="91" applyFont="1" applyFill="1" applyBorder="1" applyAlignment="1">
      <alignment horizontal="center" vertical="center" wrapText="1"/>
    </xf>
    <xf numFmtId="0" fontId="23" fillId="24" borderId="18" xfId="0" applyFont="1" applyFill="1" applyBorder="1" applyAlignment="1">
      <alignment horizontal="center" vertical="center" wrapText="1"/>
    </xf>
    <xf numFmtId="0" fontId="24" fillId="0" borderId="0" xfId="0" applyFont="1" applyFill="1" applyBorder="1" applyAlignment="1">
      <alignment horizontal="justify" vertical="center" wrapText="1"/>
    </xf>
    <xf numFmtId="37" fontId="24" fillId="0" borderId="0" xfId="0" applyNumberFormat="1" applyFont="1" applyFill="1" applyBorder="1" applyAlignment="1">
      <alignment horizontal="right" vertical="center"/>
    </xf>
    <xf numFmtId="0" fontId="23" fillId="0" borderId="0" xfId="0" applyFont="1" applyAlignment="1">
      <alignment wrapText="1"/>
    </xf>
    <xf numFmtId="37" fontId="24" fillId="0" borderId="0" xfId="0" applyNumberFormat="1" applyFont="1"/>
    <xf numFmtId="0" fontId="24" fillId="0" borderId="0" xfId="0" applyFont="1" applyBorder="1" applyAlignment="1">
      <alignment vertical="top" wrapText="1"/>
    </xf>
    <xf numFmtId="0" fontId="23" fillId="24" borderId="11" xfId="0" applyFont="1" applyFill="1" applyBorder="1" applyAlignment="1">
      <alignment vertical="top" wrapText="1"/>
    </xf>
    <xf numFmtId="0" fontId="23" fillId="0" borderId="0" xfId="0" applyFont="1" applyFill="1" applyBorder="1" applyAlignment="1">
      <alignment horizontal="justify" vertical="center" wrapText="1"/>
    </xf>
    <xf numFmtId="0" fontId="24" fillId="0" borderId="0" xfId="0" applyFont="1" applyAlignment="1">
      <alignment wrapText="1"/>
    </xf>
    <xf numFmtId="0" fontId="23" fillId="0" borderId="17" xfId="0" applyFont="1" applyBorder="1" applyAlignment="1">
      <alignment vertical="top" wrapText="1"/>
    </xf>
    <xf numFmtId="0" fontId="24" fillId="0" borderId="0" xfId="0" applyFont="1" applyAlignment="1">
      <alignment vertical="top" wrapText="1"/>
    </xf>
    <xf numFmtId="0" fontId="23" fillId="0" borderId="14" xfId="0" applyFont="1" applyFill="1" applyBorder="1" applyAlignment="1">
      <alignment vertical="top"/>
    </xf>
    <xf numFmtId="0" fontId="24" fillId="0" borderId="10" xfId="0" applyFont="1" applyFill="1" applyBorder="1" applyAlignment="1">
      <alignment vertical="top"/>
    </xf>
    <xf numFmtId="0" fontId="24" fillId="0" borderId="10" xfId="0" applyFont="1" applyFill="1" applyBorder="1" applyAlignment="1">
      <alignment vertical="top" wrapText="1"/>
    </xf>
    <xf numFmtId="164" fontId="24" fillId="0" borderId="10" xfId="0" applyNumberFormat="1" applyFont="1" applyFill="1" applyBorder="1" applyAlignment="1" applyProtection="1">
      <alignment vertical="top"/>
    </xf>
    <xf numFmtId="0" fontId="24" fillId="0" borderId="10" xfId="0" applyFont="1" applyFill="1" applyBorder="1" applyAlignment="1">
      <alignment horizontal="center" vertical="top"/>
    </xf>
    <xf numFmtId="166" fontId="24" fillId="0" borderId="10" xfId="91" applyNumberFormat="1" applyFont="1" applyFill="1" applyBorder="1" applyAlignment="1">
      <alignment vertical="top"/>
    </xf>
    <xf numFmtId="165" fontId="23" fillId="0" borderId="10" xfId="91" applyNumberFormat="1" applyFont="1" applyFill="1" applyBorder="1" applyAlignment="1">
      <alignment vertical="top"/>
    </xf>
    <xf numFmtId="42" fontId="23" fillId="0" borderId="15" xfId="0" applyNumberFormat="1" applyFont="1" applyFill="1" applyBorder="1" applyAlignment="1">
      <alignment vertical="top"/>
    </xf>
    <xf numFmtId="9" fontId="23" fillId="0" borderId="10" xfId="92" applyFont="1" applyFill="1" applyBorder="1" applyAlignment="1">
      <alignment horizontal="center" vertical="top"/>
    </xf>
    <xf numFmtId="0" fontId="23" fillId="0" borderId="22" xfId="0" applyFont="1" applyFill="1" applyBorder="1" applyAlignment="1">
      <alignment vertical="top"/>
    </xf>
    <xf numFmtId="0" fontId="24" fillId="0" borderId="23" xfId="0" applyFont="1" applyFill="1" applyBorder="1" applyAlignment="1">
      <alignment vertical="top"/>
    </xf>
    <xf numFmtId="0" fontId="24" fillId="0" borderId="23" xfId="0" applyFont="1" applyFill="1" applyBorder="1" applyAlignment="1">
      <alignment vertical="top" wrapText="1"/>
    </xf>
    <xf numFmtId="164" fontId="24" fillId="0" borderId="23" xfId="0" applyNumberFormat="1" applyFont="1" applyFill="1" applyBorder="1" applyAlignment="1" applyProtection="1">
      <alignment vertical="top"/>
    </xf>
    <xf numFmtId="0" fontId="24" fillId="0" borderId="23" xfId="0" applyFont="1" applyFill="1" applyBorder="1" applyAlignment="1">
      <alignment horizontal="center" vertical="top"/>
    </xf>
    <xf numFmtId="166" fontId="24" fillId="0" borderId="23" xfId="91" applyNumberFormat="1" applyFont="1" applyFill="1" applyBorder="1" applyAlignment="1">
      <alignment vertical="top"/>
    </xf>
    <xf numFmtId="165" fontId="23" fillId="0" borderId="23" xfId="91" applyNumberFormat="1" applyFont="1" applyFill="1" applyBorder="1" applyAlignment="1">
      <alignment vertical="top"/>
    </xf>
    <xf numFmtId="42" fontId="23" fillId="0" borderId="24" xfId="0" applyNumberFormat="1" applyFont="1" applyFill="1" applyBorder="1" applyAlignment="1">
      <alignment vertical="top"/>
    </xf>
    <xf numFmtId="0" fontId="23" fillId="0" borderId="26" xfId="0" applyFont="1" applyFill="1" applyBorder="1" applyAlignment="1">
      <alignment vertical="top"/>
    </xf>
    <xf numFmtId="0" fontId="24" fillId="0" borderId="27" xfId="0" applyFont="1" applyFill="1" applyBorder="1" applyAlignment="1">
      <alignment vertical="top"/>
    </xf>
    <xf numFmtId="0" fontId="24" fillId="0" borderId="27" xfId="0" applyFont="1" applyFill="1" applyBorder="1" applyAlignment="1">
      <alignment vertical="top" wrapText="1"/>
    </xf>
    <xf numFmtId="164" fontId="24" fillId="0" borderId="27" xfId="0" applyNumberFormat="1" applyFont="1" applyFill="1" applyBorder="1" applyAlignment="1" applyProtection="1">
      <alignment vertical="top"/>
    </xf>
    <xf numFmtId="0" fontId="24" fillId="0" borderId="27" xfId="0" applyFont="1" applyFill="1" applyBorder="1" applyAlignment="1">
      <alignment horizontal="center" vertical="top"/>
    </xf>
    <xf numFmtId="9" fontId="23" fillId="0" borderId="27" xfId="92" applyFont="1" applyFill="1" applyBorder="1" applyAlignment="1">
      <alignment horizontal="center" vertical="top"/>
    </xf>
    <xf numFmtId="165" fontId="23" fillId="0" borderId="27" xfId="91" applyNumberFormat="1" applyFont="1" applyFill="1" applyBorder="1" applyAlignment="1">
      <alignment vertical="top"/>
    </xf>
    <xf numFmtId="42" fontId="23" fillId="0" borderId="28" xfId="0" applyNumberFormat="1" applyFont="1" applyFill="1" applyBorder="1" applyAlignment="1">
      <alignment vertical="top"/>
    </xf>
    <xf numFmtId="0" fontId="23" fillId="0" borderId="14" xfId="0" applyFont="1" applyFill="1" applyBorder="1" applyAlignment="1">
      <alignment horizontal="left" vertical="top"/>
    </xf>
    <xf numFmtId="0" fontId="27" fillId="0" borderId="10" xfId="0" applyFont="1" applyFill="1" applyBorder="1" applyAlignment="1">
      <alignment vertical="top" wrapText="1"/>
    </xf>
    <xf numFmtId="164" fontId="24" fillId="0" borderId="10" xfId="0" applyNumberFormat="1" applyFont="1" applyFill="1" applyBorder="1" applyAlignment="1" applyProtection="1">
      <alignment horizontal="center" vertical="top"/>
    </xf>
    <xf numFmtId="42" fontId="23" fillId="0" borderId="10" xfId="0" applyNumberFormat="1" applyFont="1" applyFill="1" applyBorder="1" applyAlignment="1">
      <alignment vertical="top"/>
    </xf>
    <xf numFmtId="42" fontId="23" fillId="0" borderId="29" xfId="0" applyNumberFormat="1" applyFont="1" applyFill="1" applyBorder="1" applyAlignment="1">
      <alignment vertical="top"/>
    </xf>
    <xf numFmtId="0" fontId="23" fillId="0" borderId="14" xfId="0" applyFont="1" applyFill="1" applyBorder="1" applyAlignment="1">
      <alignment horizontal="centerContinuous" vertical="center"/>
    </xf>
    <xf numFmtId="0" fontId="24" fillId="0" borderId="10" xfId="0" applyFont="1" applyBorder="1" applyAlignment="1">
      <alignment horizontal="centerContinuous" vertical="center"/>
    </xf>
    <xf numFmtId="0" fontId="24" fillId="0" borderId="10" xfId="0" applyFont="1" applyBorder="1" applyAlignment="1">
      <alignment horizontal="centerContinuous" vertical="center" wrapText="1"/>
    </xf>
    <xf numFmtId="0" fontId="24" fillId="0" borderId="10" xfId="0" applyFont="1" applyBorder="1" applyAlignment="1">
      <alignment horizontal="center" vertical="center"/>
    </xf>
    <xf numFmtId="0" fontId="24" fillId="0" borderId="29" xfId="0" applyFont="1" applyBorder="1" applyAlignment="1">
      <alignment horizontal="centerContinuous" vertical="center"/>
    </xf>
    <xf numFmtId="0" fontId="24" fillId="0" borderId="22" xfId="0" applyFont="1" applyFill="1" applyBorder="1" applyAlignment="1">
      <alignment horizontal="left" vertical="top"/>
    </xf>
    <xf numFmtId="0" fontId="24" fillId="0" borderId="23" xfId="0" applyFont="1" applyBorder="1" applyAlignment="1"/>
    <xf numFmtId="0" fontId="24" fillId="0" borderId="23" xfId="0" applyFont="1" applyBorder="1" applyAlignment="1">
      <alignment wrapText="1"/>
    </xf>
    <xf numFmtId="0" fontId="24" fillId="0" borderId="23" xfId="0" applyFont="1" applyBorder="1" applyAlignment="1">
      <alignment horizontal="center"/>
    </xf>
    <xf numFmtId="0" fontId="24" fillId="0" borderId="30" xfId="0" applyFont="1" applyBorder="1" applyAlignment="1"/>
    <xf numFmtId="0" fontId="24" fillId="0" borderId="31" xfId="0" applyFont="1" applyBorder="1" applyAlignment="1"/>
    <xf numFmtId="0" fontId="24" fillId="0" borderId="31" xfId="0" applyFont="1" applyBorder="1" applyAlignment="1">
      <alignment wrapText="1"/>
    </xf>
    <xf numFmtId="0" fontId="24" fillId="0" borderId="31" xfId="0" applyFont="1" applyBorder="1" applyAlignment="1">
      <alignment horizontal="center"/>
    </xf>
    <xf numFmtId="0" fontId="23" fillId="25" borderId="0" xfId="0" applyFont="1" applyFill="1" applyAlignment="1">
      <alignment wrapText="1"/>
    </xf>
    <xf numFmtId="37" fontId="24" fillId="0" borderId="0" xfId="0" applyNumberFormat="1" applyFont="1" applyAlignment="1">
      <alignment horizontal="right" vertical="center"/>
    </xf>
    <xf numFmtId="0" fontId="23" fillId="0" borderId="0" xfId="0" applyFont="1"/>
    <xf numFmtId="1" fontId="24" fillId="26" borderId="13" xfId="0" applyNumberFormat="1" applyFont="1" applyFill="1" applyBorder="1" applyAlignment="1">
      <alignment horizontal="center"/>
    </xf>
    <xf numFmtId="37" fontId="23" fillId="24" borderId="20" xfId="0" applyNumberFormat="1" applyFont="1" applyFill="1" applyBorder="1" applyAlignment="1">
      <alignment horizontal="center" vertical="center"/>
    </xf>
    <xf numFmtId="37" fontId="24" fillId="0" borderId="0" xfId="0" applyNumberFormat="1" applyFont="1" applyBorder="1" applyAlignment="1">
      <alignment vertical="top"/>
    </xf>
    <xf numFmtId="37" fontId="23" fillId="24" borderId="11" xfId="0" applyNumberFormat="1" applyFont="1" applyFill="1" applyBorder="1" applyAlignment="1">
      <alignment vertical="top"/>
    </xf>
    <xf numFmtId="37" fontId="24" fillId="0" borderId="0" xfId="0" applyNumberFormat="1" applyFont="1" applyAlignment="1">
      <alignment horizontal="right"/>
    </xf>
    <xf numFmtId="37" fontId="24" fillId="0" borderId="17" xfId="0" applyNumberFormat="1" applyFont="1" applyBorder="1" applyAlignment="1">
      <alignment vertical="top"/>
    </xf>
    <xf numFmtId="37" fontId="24" fillId="0" borderId="10" xfId="0" applyNumberFormat="1" applyFont="1" applyFill="1" applyBorder="1" applyAlignment="1" applyProtection="1">
      <alignment vertical="top"/>
    </xf>
    <xf numFmtId="37" fontId="24" fillId="0" borderId="23" xfId="0" applyNumberFormat="1" applyFont="1" applyFill="1" applyBorder="1" applyAlignment="1" applyProtection="1">
      <alignment vertical="top"/>
    </xf>
    <xf numFmtId="37" fontId="24" fillId="0" borderId="27" xfId="0" applyNumberFormat="1" applyFont="1" applyFill="1" applyBorder="1" applyAlignment="1" applyProtection="1">
      <alignment vertical="top"/>
    </xf>
    <xf numFmtId="37" fontId="24" fillId="0" borderId="10" xfId="0" applyNumberFormat="1" applyFont="1" applyFill="1" applyBorder="1" applyAlignment="1" applyProtection="1">
      <alignment horizontal="center" vertical="top"/>
    </xf>
    <xf numFmtId="37" fontId="24" fillId="0" borderId="10" xfId="0" applyNumberFormat="1" applyFont="1" applyBorder="1" applyAlignment="1">
      <alignment horizontal="centerContinuous" vertical="center"/>
    </xf>
    <xf numFmtId="37" fontId="24" fillId="0" borderId="23" xfId="0" applyNumberFormat="1" applyFont="1" applyBorder="1" applyAlignment="1"/>
    <xf numFmtId="37" fontId="24" fillId="0" borderId="31" xfId="0" applyNumberFormat="1" applyFont="1" applyBorder="1" applyAlignment="1"/>
    <xf numFmtId="37" fontId="24" fillId="0" borderId="0" xfId="0" applyNumberFormat="1" applyFont="1" applyAlignment="1">
      <alignment vertical="top"/>
    </xf>
    <xf numFmtId="0" fontId="28" fillId="0" borderId="25" xfId="0" applyFont="1" applyBorder="1" applyAlignment="1"/>
    <xf numFmtId="14" fontId="28" fillId="0" borderId="25" xfId="0" applyNumberFormat="1" applyFont="1" applyBorder="1" applyAlignment="1"/>
    <xf numFmtId="166" fontId="23" fillId="24" borderId="20" xfId="91" applyNumberFormat="1" applyFont="1" applyFill="1" applyBorder="1" applyAlignment="1">
      <alignment horizontal="center" vertical="center" wrapText="1"/>
    </xf>
    <xf numFmtId="0" fontId="0" fillId="0" borderId="0" xfId="0" applyAlignment="1">
      <alignment wrapText="1"/>
    </xf>
    <xf numFmtId="0" fontId="28" fillId="0" borderId="0" xfId="0" applyFont="1" applyAlignment="1">
      <alignment horizontal="left" wrapText="1"/>
    </xf>
    <xf numFmtId="0" fontId="28" fillId="0" borderId="0" xfId="0" applyFont="1" applyAlignment="1">
      <alignment horizontal="left" vertical="center"/>
    </xf>
    <xf numFmtId="0" fontId="29" fillId="0" borderId="0" xfId="0" applyFont="1" applyAlignment="1">
      <alignment horizontal="left"/>
    </xf>
    <xf numFmtId="0" fontId="29" fillId="0" borderId="0" xfId="0" applyFont="1" applyAlignment="1">
      <alignment horizontal="left" vertical="top"/>
    </xf>
  </cellXfs>
  <cellStyles count="93">
    <cellStyle name="20% - Accent1 2" xfId="1"/>
    <cellStyle name="20% - Accent1 3" xfId="2"/>
    <cellStyle name="20% - Accent2 2" xfId="3"/>
    <cellStyle name="20% - Accent2 3" xfId="4"/>
    <cellStyle name="20% - Accent3 2" xfId="5"/>
    <cellStyle name="20% - Accent3 3" xfId="6"/>
    <cellStyle name="20% - Accent4 2" xfId="7"/>
    <cellStyle name="20% - Accent4 3" xfId="8"/>
    <cellStyle name="20% - Accent5 2" xfId="9"/>
    <cellStyle name="20% - Accent5 3" xfId="10"/>
    <cellStyle name="20% - Accent6 2" xfId="11"/>
    <cellStyle name="20% - Accent6 3" xfId="12"/>
    <cellStyle name="40% - Accent1 2" xfId="13"/>
    <cellStyle name="40% - Accent1 3" xfId="14"/>
    <cellStyle name="40% - Accent2 2" xfId="15"/>
    <cellStyle name="40% - Accent2 3" xfId="16"/>
    <cellStyle name="40% - Accent3 2" xfId="17"/>
    <cellStyle name="40% - Accent3 3" xfId="18"/>
    <cellStyle name="40% - Accent4 2" xfId="19"/>
    <cellStyle name="40% - Accent4 3" xfId="20"/>
    <cellStyle name="40% - Accent5 2" xfId="21"/>
    <cellStyle name="40% - Accent5 3" xfId="22"/>
    <cellStyle name="40% - Accent6 2" xfId="23"/>
    <cellStyle name="40% - Accent6 3" xfId="24"/>
    <cellStyle name="60% - Accent1 2" xfId="25"/>
    <cellStyle name="60% - Accent1 3" xfId="26"/>
    <cellStyle name="60% - Accent2 2" xfId="27"/>
    <cellStyle name="60% - Accent2 3" xfId="28"/>
    <cellStyle name="60% - Accent3 2" xfId="29"/>
    <cellStyle name="60% - Accent3 3" xfId="30"/>
    <cellStyle name="60% - Accent4 2" xfId="31"/>
    <cellStyle name="60% - Accent4 3" xfId="32"/>
    <cellStyle name="60% - Accent5 2" xfId="33"/>
    <cellStyle name="60% - Accent5 3" xfId="34"/>
    <cellStyle name="60% - Accent6 2" xfId="35"/>
    <cellStyle name="60% - Accent6 3" xfId="36"/>
    <cellStyle name="Accent1 2" xfId="37"/>
    <cellStyle name="Accent1 3" xfId="38"/>
    <cellStyle name="Accent2 2" xfId="39"/>
    <cellStyle name="Accent2 3" xfId="40"/>
    <cellStyle name="Accent3 2" xfId="41"/>
    <cellStyle name="Accent3 3" xfId="42"/>
    <cellStyle name="Accent4 2" xfId="43"/>
    <cellStyle name="Accent4 3" xfId="44"/>
    <cellStyle name="Accent5 2" xfId="45"/>
    <cellStyle name="Accent5 3" xfId="46"/>
    <cellStyle name="Accent6 2" xfId="47"/>
    <cellStyle name="Accent6 3" xfId="48"/>
    <cellStyle name="Bad 2" xfId="49"/>
    <cellStyle name="Bad 3" xfId="50"/>
    <cellStyle name="Calculation 2" xfId="51"/>
    <cellStyle name="Calculation 3" xfId="52"/>
    <cellStyle name="Check Cell 2" xfId="53"/>
    <cellStyle name="Check Cell 3" xfId="54"/>
    <cellStyle name="Comma 2" xfId="55"/>
    <cellStyle name="Comma 2 2" xfId="90"/>
    <cellStyle name="Currency" xfId="91" builtinId="4"/>
    <cellStyle name="Explanatory Text 2" xfId="56"/>
    <cellStyle name="Explanatory Text 3" xfId="57"/>
    <cellStyle name="Good 2" xfId="58"/>
    <cellStyle name="Good 3" xfId="59"/>
    <cellStyle name="Heading 1 2" xfId="60"/>
    <cellStyle name="Heading 1 3" xfId="61"/>
    <cellStyle name="Heading 2 2" xfId="62"/>
    <cellStyle name="Heading 2 3" xfId="63"/>
    <cellStyle name="Heading 3 2" xfId="64"/>
    <cellStyle name="Heading 3 3" xfId="65"/>
    <cellStyle name="Heading 4 2" xfId="66"/>
    <cellStyle name="Heading 4 3" xfId="67"/>
    <cellStyle name="Input 2" xfId="68"/>
    <cellStyle name="Input 3" xfId="69"/>
    <cellStyle name="Linked Cell 2" xfId="70"/>
    <cellStyle name="Linked Cell 3" xfId="71"/>
    <cellStyle name="Neutral 2" xfId="72"/>
    <cellStyle name="Neutral 3" xfId="73"/>
    <cellStyle name="Normal" xfId="0" builtinId="0"/>
    <cellStyle name="Normal 2" xfId="89"/>
    <cellStyle name="Normal 2 2" xfId="74"/>
    <cellStyle name="Normal 2 3" xfId="75"/>
    <cellStyle name="Normal 3" xfId="76"/>
    <cellStyle name="Normal 4" xfId="88"/>
    <cellStyle name="Normal 6" xfId="77"/>
    <cellStyle name="Note 2" xfId="78"/>
    <cellStyle name="Note 3" xfId="79"/>
    <cellStyle name="Output 2" xfId="80"/>
    <cellStyle name="Output 3" xfId="81"/>
    <cellStyle name="Percent" xfId="92" builtinId="5"/>
    <cellStyle name="Title 2" xfId="82"/>
    <cellStyle name="Title 3" xfId="83"/>
    <cellStyle name="Total 2" xfId="84"/>
    <cellStyle name="Total 3" xfId="85"/>
    <cellStyle name="Warning Text 2" xfId="86"/>
    <cellStyle name="Warning Text 3" xfId="87"/>
  </cellStyles>
  <dxfs count="0"/>
  <tableStyles count="0" defaultTableStyle="TableStyleMedium9" defaultPivotStyle="PivotStyleLight16"/>
  <colors>
    <mruColors>
      <color rgb="FFD4F5FA"/>
      <color rgb="FF48B8E0"/>
      <color rgb="FFFFFFFF"/>
      <color rgb="FF6DD9FF"/>
      <color rgb="FF2DC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val>
            <c:numRef>
              <c:f>#REF!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2FBB-422C-82D2-334952C77813}"/>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xmlns:c16r2="http://schemas.microsoft.com/office/drawing/2015/06/chart">
                      <c:ext uri="{02D57815-91ED-43cb-92C2-25804820EDAC}">
                        <c15:formulaRef>
                          <c15:sqref>#REF!</c15:sqref>
                        </c15:formulaRef>
                      </c:ext>
                    </c:extLst>
                  </c:multiLvlStrRef>
                </c15:cat>
              </c15:filteredCategoryTitle>
            </c:ext>
          </c:extLst>
        </c:ser>
        <c:dLbls>
          <c:showLegendKey val="0"/>
          <c:showVal val="0"/>
          <c:showCatName val="0"/>
          <c:showSerName val="0"/>
          <c:showPercent val="0"/>
          <c:showBubbleSize val="0"/>
        </c:dLbls>
        <c:gapWidth val="150"/>
        <c:axId val="-1135189520"/>
        <c:axId val="-1135175920"/>
      </c:barChart>
      <c:catAx>
        <c:axId val="-1135189520"/>
        <c:scaling>
          <c:orientation val="minMax"/>
        </c:scaling>
        <c:delete val="0"/>
        <c:axPos val="b"/>
        <c:numFmt formatCode="General" sourceLinked="1"/>
        <c:majorTickMark val="none"/>
        <c:minorTickMark val="none"/>
        <c:tickLblPos val="nextTo"/>
        <c:txPr>
          <a:bodyPr rot="-2700000" vert="horz"/>
          <a:lstStyle/>
          <a:p>
            <a:pPr>
              <a:defRPr sz="800" b="1" i="0" u="none" strike="noStrike" baseline="0">
                <a:solidFill>
                  <a:srgbClr val="000000"/>
                </a:solidFill>
                <a:latin typeface="Verdana"/>
                <a:ea typeface="Verdana"/>
                <a:cs typeface="Verdana"/>
              </a:defRPr>
            </a:pPr>
            <a:endParaRPr lang="en-US"/>
          </a:p>
        </c:txPr>
        <c:crossAx val="-1135175920"/>
        <c:crosses val="autoZero"/>
        <c:auto val="1"/>
        <c:lblAlgn val="ctr"/>
        <c:lblOffset val="100"/>
        <c:noMultiLvlLbl val="0"/>
      </c:catAx>
      <c:valAx>
        <c:axId val="-1135175920"/>
        <c:scaling>
          <c:orientation val="minMax"/>
        </c:scaling>
        <c:delete val="0"/>
        <c:axPos val="l"/>
        <c:majorGridlines/>
        <c:numFmt formatCode="General" sourceLinked="1"/>
        <c:majorTickMark val="none"/>
        <c:minorTickMark val="none"/>
        <c:tickLblPos val="nextTo"/>
        <c:txPr>
          <a:bodyPr rot="0" vert="horz"/>
          <a:lstStyle/>
          <a:p>
            <a:pPr>
              <a:defRPr sz="800" b="1" i="0" u="none" strike="noStrike" baseline="0">
                <a:solidFill>
                  <a:srgbClr val="000000"/>
                </a:solidFill>
                <a:latin typeface="Verdana"/>
                <a:ea typeface="Verdana"/>
                <a:cs typeface="Verdana"/>
              </a:defRPr>
            </a:pPr>
            <a:endParaRPr lang="en-US"/>
          </a:p>
        </c:txPr>
        <c:crossAx val="-113518952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sheetPr/>
  <sheetViews>
    <sheetView zoomScale="141"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58225"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27"/>
  <sheetViews>
    <sheetView tabSelected="1" view="pageBreakPreview" zoomScale="80" zoomScaleSheetLayoutView="80" workbookViewId="0">
      <pane ySplit="5" topLeftCell="A105" activePane="bottomLeft" state="frozen"/>
      <selection pane="bottomLeft" activeCell="C129" sqref="C129"/>
    </sheetView>
  </sheetViews>
  <sheetFormatPr defaultRowHeight="15" x14ac:dyDescent="0.2"/>
  <cols>
    <col min="1" max="1" width="4.44140625" style="2" customWidth="1"/>
    <col min="2" max="2" width="10.109375" style="2" customWidth="1"/>
    <col min="3" max="3" width="68.21875" style="52" customWidth="1"/>
    <col min="4" max="4" width="10.109375" style="112" bestFit="1" customWidth="1"/>
    <col min="5" max="5" width="8.5546875" style="2" customWidth="1"/>
    <col min="6" max="6" width="9.33203125" style="2" customWidth="1"/>
    <col min="7" max="7" width="11.21875" style="10" bestFit="1" customWidth="1"/>
    <col min="8" max="9" width="11.21875" style="10" customWidth="1"/>
    <col min="10" max="10" width="10.44140625" style="27" customWidth="1"/>
    <col min="11" max="11" width="13.77734375" style="23" customWidth="1"/>
    <col min="12" max="12" width="11.77734375" style="2" customWidth="1"/>
    <col min="13" max="16384" width="8.88671875" style="2"/>
  </cols>
  <sheetData>
    <row r="1" spans="1:12" ht="18.75" x14ac:dyDescent="0.3">
      <c r="A1" s="119"/>
      <c r="B1" s="119"/>
      <c r="C1" s="119"/>
      <c r="D1" s="46"/>
      <c r="E1" s="37"/>
      <c r="F1" s="117" t="s">
        <v>1120</v>
      </c>
      <c r="G1" s="117"/>
      <c r="H1" s="117"/>
      <c r="I1" s="117"/>
      <c r="J1" s="117"/>
      <c r="K1" s="117"/>
      <c r="L1" s="117"/>
    </row>
    <row r="2" spans="1:12" ht="15" customHeight="1" x14ac:dyDescent="0.3">
      <c r="A2" s="119"/>
      <c r="B2" s="119"/>
      <c r="C2" s="119"/>
      <c r="D2" s="46"/>
      <c r="E2" s="37"/>
      <c r="F2" s="118" t="s">
        <v>1119</v>
      </c>
      <c r="G2" s="118"/>
      <c r="H2" s="118"/>
      <c r="I2" s="118"/>
      <c r="J2" s="118"/>
      <c r="K2" s="118"/>
      <c r="L2" s="118"/>
    </row>
    <row r="3" spans="1:12" ht="15" customHeight="1" x14ac:dyDescent="0.25">
      <c r="A3" s="120"/>
      <c r="B3" s="120"/>
      <c r="C3" s="120"/>
      <c r="D3" s="46"/>
      <c r="E3" s="37"/>
      <c r="F3" s="118"/>
      <c r="G3" s="118"/>
      <c r="H3" s="118"/>
      <c r="I3" s="118"/>
      <c r="J3" s="118"/>
      <c r="K3" s="118"/>
      <c r="L3" s="118"/>
    </row>
    <row r="4" spans="1:12" ht="15.75" x14ac:dyDescent="0.25">
      <c r="A4"/>
      <c r="B4"/>
      <c r="C4" s="116"/>
      <c r="D4" s="46"/>
      <c r="E4" s="37"/>
      <c r="F4" s="113" t="s">
        <v>39</v>
      </c>
      <c r="G4" s="114"/>
      <c r="H4" s="114"/>
      <c r="I4" s="114"/>
      <c r="J4" s="113"/>
      <c r="K4" s="113"/>
      <c r="L4" s="113"/>
    </row>
    <row r="5" spans="1:12" ht="30.75" customHeight="1" x14ac:dyDescent="0.2">
      <c r="A5" s="38" t="s">
        <v>2</v>
      </c>
      <c r="B5" s="39" t="s">
        <v>11</v>
      </c>
      <c r="C5" s="40" t="s">
        <v>0</v>
      </c>
      <c r="D5" s="100" t="s">
        <v>3</v>
      </c>
      <c r="E5" s="40" t="s">
        <v>4</v>
      </c>
      <c r="F5" s="40" t="s">
        <v>5</v>
      </c>
      <c r="G5" s="40" t="s">
        <v>6</v>
      </c>
      <c r="H5" s="40" t="s">
        <v>1121</v>
      </c>
      <c r="I5" s="40" t="s">
        <v>1115</v>
      </c>
      <c r="J5" s="115" t="s">
        <v>1114</v>
      </c>
      <c r="K5" s="41" t="s">
        <v>7</v>
      </c>
      <c r="L5" s="42" t="s">
        <v>8</v>
      </c>
    </row>
    <row r="6" spans="1:12" s="6" customFormat="1" ht="15.75" thickBot="1" x14ac:dyDescent="0.25">
      <c r="A6" s="17"/>
      <c r="B6" s="11"/>
      <c r="C6" s="47"/>
      <c r="D6" s="101"/>
      <c r="E6" s="3"/>
      <c r="F6" s="1"/>
      <c r="G6" s="4"/>
      <c r="H6" s="4"/>
      <c r="I6" s="4"/>
      <c r="J6" s="24"/>
      <c r="K6" s="20"/>
      <c r="L6" s="5"/>
    </row>
    <row r="7" spans="1:12" ht="15.75" thickBot="1" x14ac:dyDescent="0.25">
      <c r="A7" s="19" t="str">
        <f>IF(F7&lt;&gt;"",1+MAX(#REF!),"")</f>
        <v/>
      </c>
      <c r="B7" s="7" t="s">
        <v>42</v>
      </c>
      <c r="C7" s="48" t="s">
        <v>12</v>
      </c>
      <c r="D7" s="102"/>
      <c r="E7" s="8"/>
      <c r="F7" s="8"/>
      <c r="G7" s="7"/>
      <c r="H7" s="7"/>
      <c r="I7" s="7"/>
      <c r="J7" s="25"/>
      <c r="K7" s="21"/>
      <c r="L7" s="9">
        <f>SUM(K9:K26)</f>
        <v>0</v>
      </c>
    </row>
    <row r="8" spans="1:12" s="6" customFormat="1" x14ac:dyDescent="0.2">
      <c r="A8" s="17"/>
      <c r="B8" s="11"/>
      <c r="C8" s="47"/>
      <c r="D8" s="101"/>
      <c r="E8" s="3"/>
      <c r="F8" s="1"/>
      <c r="G8" s="4"/>
      <c r="H8" s="4"/>
      <c r="I8" s="4"/>
      <c r="J8" s="24"/>
      <c r="K8" s="20"/>
      <c r="L8" s="5"/>
    </row>
    <row r="9" spans="1:12" s="37" customFormat="1" x14ac:dyDescent="0.25">
      <c r="A9" s="30">
        <f>IF(F9&lt;&gt;"",1+MAX($A$7:A8),"")</f>
        <v>1</v>
      </c>
      <c r="B9" s="31"/>
      <c r="C9" s="49" t="s">
        <v>15</v>
      </c>
      <c r="D9" s="44">
        <v>1</v>
      </c>
      <c r="E9" s="28">
        <v>0</v>
      </c>
      <c r="F9" s="32">
        <f>D9*(1+E9)</f>
        <v>1</v>
      </c>
      <c r="G9" s="29" t="s">
        <v>13</v>
      </c>
      <c r="H9" s="29"/>
      <c r="I9" s="29"/>
      <c r="J9" s="33"/>
      <c r="K9" s="34">
        <f t="shared" ref="K9:K18" si="0">J9*F9</f>
        <v>0</v>
      </c>
      <c r="L9" s="35"/>
    </row>
    <row r="10" spans="1:12" s="37" customFormat="1" x14ac:dyDescent="0.25">
      <c r="A10" s="30">
        <f>IF(F10&lt;&gt;"",1+MAX($A$7:A9),"")</f>
        <v>2</v>
      </c>
      <c r="B10" s="31"/>
      <c r="C10" s="49" t="s">
        <v>16</v>
      </c>
      <c r="D10" s="44">
        <v>1</v>
      </c>
      <c r="E10" s="28">
        <v>0</v>
      </c>
      <c r="F10" s="32">
        <f t="shared" ref="F10:F24" si="1">D10*(1+E10)</f>
        <v>1</v>
      </c>
      <c r="G10" s="29" t="s">
        <v>13</v>
      </c>
      <c r="H10" s="29"/>
      <c r="I10" s="29"/>
      <c r="J10" s="33"/>
      <c r="K10" s="34">
        <f t="shared" si="0"/>
        <v>0</v>
      </c>
      <c r="L10" s="35"/>
    </row>
    <row r="11" spans="1:12" s="37" customFormat="1" x14ac:dyDescent="0.25">
      <c r="A11" s="30">
        <f>IF(F11&lt;&gt;"",1+MAX($A$7:A10),"")</f>
        <v>3</v>
      </c>
      <c r="B11" s="31"/>
      <c r="C11" s="49" t="s">
        <v>17</v>
      </c>
      <c r="D11" s="44">
        <v>1</v>
      </c>
      <c r="E11" s="28">
        <v>0</v>
      </c>
      <c r="F11" s="32">
        <f t="shared" si="1"/>
        <v>1</v>
      </c>
      <c r="G11" s="29" t="s">
        <v>13</v>
      </c>
      <c r="H11" s="29"/>
      <c r="I11" s="29"/>
      <c r="J11" s="33"/>
      <c r="K11" s="34">
        <f t="shared" si="0"/>
        <v>0</v>
      </c>
      <c r="L11" s="35"/>
    </row>
    <row r="12" spans="1:12" s="37" customFormat="1" ht="33.75" customHeight="1" x14ac:dyDescent="0.25">
      <c r="A12" s="30">
        <f>IF(F12&lt;&gt;"",1+MAX($A$7:A11),"")</f>
        <v>4</v>
      </c>
      <c r="B12" s="31"/>
      <c r="C12" s="49" t="s">
        <v>18</v>
      </c>
      <c r="D12" s="44">
        <v>1</v>
      </c>
      <c r="E12" s="28">
        <v>0</v>
      </c>
      <c r="F12" s="32">
        <f t="shared" si="1"/>
        <v>1</v>
      </c>
      <c r="G12" s="29" t="s">
        <v>13</v>
      </c>
      <c r="H12" s="29"/>
      <c r="I12" s="29"/>
      <c r="J12" s="33"/>
      <c r="K12" s="34">
        <f t="shared" si="0"/>
        <v>0</v>
      </c>
      <c r="L12" s="35"/>
    </row>
    <row r="13" spans="1:12" s="37" customFormat="1" x14ac:dyDescent="0.25">
      <c r="A13" s="30">
        <f>IF(F13&lt;&gt;"",1+MAX($A$7:A12),"")</f>
        <v>5</v>
      </c>
      <c r="B13" s="31"/>
      <c r="C13" s="49" t="s">
        <v>19</v>
      </c>
      <c r="D13" s="44">
        <v>1</v>
      </c>
      <c r="E13" s="28">
        <v>0</v>
      </c>
      <c r="F13" s="32">
        <f t="shared" si="1"/>
        <v>1</v>
      </c>
      <c r="G13" s="29" t="s">
        <v>13</v>
      </c>
      <c r="H13" s="29"/>
      <c r="I13" s="29"/>
      <c r="J13" s="33"/>
      <c r="K13" s="34">
        <f t="shared" si="0"/>
        <v>0</v>
      </c>
      <c r="L13" s="35"/>
    </row>
    <row r="14" spans="1:12" s="37" customFormat="1" ht="33.75" customHeight="1" x14ac:dyDescent="0.25">
      <c r="A14" s="30">
        <f>IF(F14&lt;&gt;"",1+MAX($A$7:A13),"")</f>
        <v>6</v>
      </c>
      <c r="B14" s="31"/>
      <c r="C14" s="49" t="s">
        <v>20</v>
      </c>
      <c r="D14" s="44">
        <v>1</v>
      </c>
      <c r="E14" s="28">
        <v>0</v>
      </c>
      <c r="F14" s="32">
        <f t="shared" si="1"/>
        <v>1</v>
      </c>
      <c r="G14" s="29" t="s">
        <v>13</v>
      </c>
      <c r="H14" s="29"/>
      <c r="I14" s="29"/>
      <c r="J14" s="33"/>
      <c r="K14" s="34">
        <f t="shared" si="0"/>
        <v>0</v>
      </c>
      <c r="L14" s="35"/>
    </row>
    <row r="15" spans="1:12" s="37" customFormat="1" ht="33.75" customHeight="1" x14ac:dyDescent="0.25">
      <c r="A15" s="30">
        <f>IF(F15&lt;&gt;"",1+MAX($A$7:A14),"")</f>
        <v>7</v>
      </c>
      <c r="B15" s="31"/>
      <c r="C15" s="49" t="s">
        <v>21</v>
      </c>
      <c r="D15" s="44">
        <v>1</v>
      </c>
      <c r="E15" s="28">
        <v>0</v>
      </c>
      <c r="F15" s="32">
        <f t="shared" si="1"/>
        <v>1</v>
      </c>
      <c r="G15" s="29" t="s">
        <v>13</v>
      </c>
      <c r="H15" s="29"/>
      <c r="I15" s="29"/>
      <c r="J15" s="33"/>
      <c r="K15" s="34">
        <f t="shared" si="0"/>
        <v>0</v>
      </c>
      <c r="L15" s="35"/>
    </row>
    <row r="16" spans="1:12" s="37" customFormat="1" x14ac:dyDescent="0.25">
      <c r="A16" s="30">
        <f>IF(F16&lt;&gt;"",1+MAX($A$7:A15),"")</f>
        <v>8</v>
      </c>
      <c r="B16" s="31"/>
      <c r="C16" s="49" t="s">
        <v>22</v>
      </c>
      <c r="D16" s="44">
        <v>1</v>
      </c>
      <c r="E16" s="28">
        <v>0</v>
      </c>
      <c r="F16" s="32">
        <f t="shared" si="1"/>
        <v>1</v>
      </c>
      <c r="G16" s="29" t="s">
        <v>13</v>
      </c>
      <c r="H16" s="29"/>
      <c r="I16" s="29"/>
      <c r="J16" s="33"/>
      <c r="K16" s="34">
        <f t="shared" si="0"/>
        <v>0</v>
      </c>
      <c r="L16" s="35"/>
    </row>
    <row r="17" spans="1:12" s="37" customFormat="1" x14ac:dyDescent="0.25">
      <c r="A17" s="30">
        <f>IF(F17&lt;&gt;"",1+MAX($A$7:A16),"")</f>
        <v>9</v>
      </c>
      <c r="B17" s="31"/>
      <c r="C17" s="49" t="s">
        <v>23</v>
      </c>
      <c r="D17" s="44">
        <v>1</v>
      </c>
      <c r="E17" s="28">
        <v>0</v>
      </c>
      <c r="F17" s="32">
        <f t="shared" si="1"/>
        <v>1</v>
      </c>
      <c r="G17" s="29" t="s">
        <v>13</v>
      </c>
      <c r="H17" s="29"/>
      <c r="I17" s="29"/>
      <c r="J17" s="33"/>
      <c r="K17" s="34">
        <f t="shared" si="0"/>
        <v>0</v>
      </c>
      <c r="L17" s="35"/>
    </row>
    <row r="18" spans="1:12" s="37" customFormat="1" x14ac:dyDescent="0.25">
      <c r="A18" s="30">
        <f>IF(F18&lt;&gt;"",1+MAX($A$7:A17),"")</f>
        <v>10</v>
      </c>
      <c r="B18" s="31"/>
      <c r="C18" s="49" t="s">
        <v>24</v>
      </c>
      <c r="D18" s="44">
        <v>1</v>
      </c>
      <c r="E18" s="28">
        <v>0</v>
      </c>
      <c r="F18" s="32">
        <f t="shared" si="1"/>
        <v>1</v>
      </c>
      <c r="G18" s="29" t="s">
        <v>13</v>
      </c>
      <c r="H18" s="29"/>
      <c r="I18" s="29"/>
      <c r="J18" s="33"/>
      <c r="K18" s="34">
        <f t="shared" si="0"/>
        <v>0</v>
      </c>
      <c r="L18" s="35"/>
    </row>
    <row r="19" spans="1:12" s="37" customFormat="1" x14ac:dyDescent="0.25">
      <c r="A19" s="30" t="str">
        <f>IF(F19&lt;&gt;"",1+MAX($A$7:A18),"")</f>
        <v/>
      </c>
      <c r="B19" s="31"/>
      <c r="C19" s="43" t="s">
        <v>25</v>
      </c>
      <c r="D19" s="44"/>
      <c r="E19" s="28"/>
      <c r="F19" s="32"/>
      <c r="G19" s="29"/>
      <c r="H19" s="29"/>
      <c r="I19" s="29"/>
      <c r="J19" s="33"/>
      <c r="K19" s="34"/>
      <c r="L19" s="35"/>
    </row>
    <row r="20" spans="1:12" s="37" customFormat="1" x14ac:dyDescent="0.25">
      <c r="A20" s="30">
        <f>IF(F20&lt;&gt;"",1+MAX($A$7:A19),"")</f>
        <v>11</v>
      </c>
      <c r="B20" s="31"/>
      <c r="C20" s="49" t="s">
        <v>26</v>
      </c>
      <c r="D20" s="44">
        <v>1</v>
      </c>
      <c r="E20" s="28">
        <v>0</v>
      </c>
      <c r="F20" s="32">
        <f t="shared" si="1"/>
        <v>1</v>
      </c>
      <c r="G20" s="29" t="s">
        <v>13</v>
      </c>
      <c r="H20" s="29"/>
      <c r="I20" s="29"/>
      <c r="J20" s="33"/>
      <c r="K20" s="34">
        <f>J20*F20</f>
        <v>0</v>
      </c>
      <c r="L20" s="35"/>
    </row>
    <row r="21" spans="1:12" s="37" customFormat="1" x14ac:dyDescent="0.25">
      <c r="A21" s="30">
        <f>IF(F21&lt;&gt;"",1+MAX($A$7:A20),"")</f>
        <v>12</v>
      </c>
      <c r="B21" s="31"/>
      <c r="C21" s="43" t="s">
        <v>27</v>
      </c>
      <c r="D21" s="44">
        <v>1</v>
      </c>
      <c r="E21" s="28">
        <v>0</v>
      </c>
      <c r="F21" s="32">
        <f t="shared" si="1"/>
        <v>1</v>
      </c>
      <c r="G21" s="29" t="s">
        <v>13</v>
      </c>
      <c r="H21" s="29"/>
      <c r="I21" s="29"/>
      <c r="J21" s="33"/>
      <c r="K21" s="34">
        <f>J21*F21</f>
        <v>0</v>
      </c>
      <c r="L21" s="35"/>
    </row>
    <row r="22" spans="1:12" s="37" customFormat="1" x14ac:dyDescent="0.25">
      <c r="A22" s="30">
        <f>IF(F22&lt;&gt;"",1+MAX($A$7:A21),"")</f>
        <v>13</v>
      </c>
      <c r="B22" s="31"/>
      <c r="C22" s="43" t="s">
        <v>28</v>
      </c>
      <c r="D22" s="44">
        <v>1</v>
      </c>
      <c r="E22" s="28">
        <v>0</v>
      </c>
      <c r="F22" s="32">
        <f t="shared" si="1"/>
        <v>1</v>
      </c>
      <c r="G22" s="29" t="s">
        <v>13</v>
      </c>
      <c r="H22" s="29"/>
      <c r="I22" s="29"/>
      <c r="J22" s="33"/>
      <c r="K22" s="34">
        <f>J22*F22</f>
        <v>0</v>
      </c>
      <c r="L22" s="35"/>
    </row>
    <row r="23" spans="1:12" s="37" customFormat="1" x14ac:dyDescent="0.25">
      <c r="A23" s="30">
        <f>IF(F23&lt;&gt;"",1+MAX($A$7:A22),"")</f>
        <v>14</v>
      </c>
      <c r="B23" s="31"/>
      <c r="C23" s="43" t="s">
        <v>29</v>
      </c>
      <c r="D23" s="44">
        <v>1</v>
      </c>
      <c r="E23" s="28">
        <v>0</v>
      </c>
      <c r="F23" s="32">
        <f t="shared" si="1"/>
        <v>1</v>
      </c>
      <c r="G23" s="29" t="s">
        <v>13</v>
      </c>
      <c r="H23" s="29"/>
      <c r="I23" s="29"/>
      <c r="J23" s="33"/>
      <c r="K23" s="34">
        <f>J23*F23</f>
        <v>0</v>
      </c>
      <c r="L23" s="35"/>
    </row>
    <row r="24" spans="1:12" s="37" customFormat="1" x14ac:dyDescent="0.25">
      <c r="A24" s="30">
        <f>IF(F24&lt;&gt;"",1+MAX($A$7:A23),"")</f>
        <v>15</v>
      </c>
      <c r="B24" s="31"/>
      <c r="C24" s="43" t="s">
        <v>30</v>
      </c>
      <c r="D24" s="44">
        <v>1</v>
      </c>
      <c r="E24" s="28">
        <v>0</v>
      </c>
      <c r="F24" s="32">
        <f t="shared" si="1"/>
        <v>1</v>
      </c>
      <c r="G24" s="29" t="s">
        <v>13</v>
      </c>
      <c r="H24" s="29"/>
      <c r="I24" s="29"/>
      <c r="J24" s="33"/>
      <c r="K24" s="34">
        <f>J24*F24</f>
        <v>0</v>
      </c>
      <c r="L24" s="35"/>
    </row>
    <row r="25" spans="1:12" s="37" customFormat="1" x14ac:dyDescent="0.25">
      <c r="A25" s="30" t="str">
        <f>IF(F25&lt;&gt;"",1+MAX($A$7:A24),"")</f>
        <v/>
      </c>
      <c r="B25" s="31"/>
      <c r="C25" s="43" t="s">
        <v>25</v>
      </c>
      <c r="D25" s="44"/>
      <c r="E25" s="28"/>
      <c r="F25" s="32"/>
      <c r="G25" s="29"/>
      <c r="H25" s="29"/>
      <c r="I25" s="29"/>
      <c r="J25" s="33"/>
      <c r="K25" s="34"/>
      <c r="L25" s="35"/>
    </row>
    <row r="26" spans="1:12" s="37" customFormat="1" x14ac:dyDescent="0.25">
      <c r="A26" s="30">
        <f>IF(F26&lt;&gt;"",1+MAX($A$7:A25),"")</f>
        <v>16</v>
      </c>
      <c r="B26" s="31"/>
      <c r="C26" s="49" t="s">
        <v>31</v>
      </c>
      <c r="D26" s="44">
        <v>1</v>
      </c>
      <c r="E26" s="28">
        <v>0</v>
      </c>
      <c r="F26" s="32">
        <f>D26*(1+E26)</f>
        <v>1</v>
      </c>
      <c r="G26" s="29" t="s">
        <v>13</v>
      </c>
      <c r="H26" s="29"/>
      <c r="I26" s="29"/>
      <c r="J26" s="33"/>
      <c r="K26" s="34">
        <f>J26*F26</f>
        <v>0</v>
      </c>
      <c r="L26" s="35"/>
    </row>
    <row r="27" spans="1:12" s="6" customFormat="1" ht="15.75" thickBot="1" x14ac:dyDescent="0.3">
      <c r="A27" s="30" t="str">
        <f>IF(F27&lt;&gt;"",1+MAX($A$7:A26),"")</f>
        <v/>
      </c>
      <c r="B27" s="11"/>
      <c r="C27" s="47"/>
      <c r="D27" s="101"/>
      <c r="E27" s="3"/>
      <c r="F27" s="1"/>
      <c r="G27" s="4"/>
      <c r="H27" s="4"/>
      <c r="I27" s="4"/>
      <c r="J27" s="24"/>
      <c r="K27" s="20"/>
      <c r="L27" s="5"/>
    </row>
    <row r="28" spans="1:12" ht="15.75" thickBot="1" x14ac:dyDescent="0.3">
      <c r="A28" s="99" t="str">
        <f>IF(F28&lt;&gt;"",1+MAX($A$7:A27),"")</f>
        <v/>
      </c>
      <c r="B28" s="7" t="s">
        <v>43</v>
      </c>
      <c r="C28" s="48" t="s">
        <v>32</v>
      </c>
      <c r="D28" s="102"/>
      <c r="E28" s="8"/>
      <c r="F28" s="8"/>
      <c r="G28" s="7"/>
      <c r="H28" s="7"/>
      <c r="I28" s="7"/>
      <c r="J28" s="25"/>
      <c r="K28" s="21"/>
      <c r="L28" s="9">
        <f>SUM(K29:K219)</f>
        <v>0</v>
      </c>
    </row>
    <row r="29" spans="1:12" s="6" customFormat="1" x14ac:dyDescent="0.25">
      <c r="A29" s="30" t="str">
        <f>IF(F29&lt;&gt;"",1+MAX($A$7:A28),"")</f>
        <v/>
      </c>
      <c r="B29" s="11"/>
      <c r="C29" s="47"/>
      <c r="D29" s="101"/>
      <c r="E29" s="3"/>
      <c r="F29" s="1"/>
      <c r="G29" s="4"/>
      <c r="H29" s="4"/>
      <c r="I29" s="4"/>
      <c r="J29" s="24"/>
      <c r="K29" s="20"/>
      <c r="L29" s="5"/>
    </row>
    <row r="30" spans="1:12" s="6" customFormat="1" x14ac:dyDescent="0.25">
      <c r="A30" s="30" t="str">
        <f>IF(F30&lt;&gt;"",1+MAX($A$7:A29),"")</f>
        <v/>
      </c>
      <c r="B30" s="11"/>
      <c r="C30" s="45" t="s">
        <v>370</v>
      </c>
      <c r="D30" s="101"/>
      <c r="E30" s="3"/>
      <c r="F30" s="1"/>
      <c r="G30" s="4"/>
      <c r="H30" s="4"/>
      <c r="I30" s="4"/>
      <c r="J30" s="24"/>
      <c r="K30" s="20"/>
      <c r="L30" s="5"/>
    </row>
    <row r="31" spans="1:12" s="6" customFormat="1" x14ac:dyDescent="0.25">
      <c r="A31" s="30">
        <f>IF(F31&lt;&gt;"",1+MAX($A$7:A30),"")</f>
        <v>17</v>
      </c>
      <c r="B31" s="11"/>
      <c r="C31" s="37" t="s">
        <v>636</v>
      </c>
      <c r="D31" s="46">
        <v>161.22999999999999</v>
      </c>
      <c r="E31" s="28">
        <v>0.1</v>
      </c>
      <c r="F31" s="32">
        <f t="shared" ref="F31:F51" si="2">D31*(1+E31)</f>
        <v>177.35300000000001</v>
      </c>
      <c r="G31" s="29" t="s">
        <v>275</v>
      </c>
      <c r="H31" s="29"/>
      <c r="I31" s="29"/>
      <c r="J31" s="33"/>
      <c r="K31" s="34">
        <f t="shared" ref="K31:K51" si="3">J31*F31</f>
        <v>0</v>
      </c>
      <c r="L31" s="5"/>
    </row>
    <row r="32" spans="1:12" s="37" customFormat="1" x14ac:dyDescent="0.25">
      <c r="A32" s="30">
        <f>IF(F32&lt;&gt;"",1+MAX($A$7:A31),"")</f>
        <v>18</v>
      </c>
      <c r="B32" s="31"/>
      <c r="C32" s="37" t="s">
        <v>637</v>
      </c>
      <c r="D32" s="46">
        <v>161.75</v>
      </c>
      <c r="E32" s="28">
        <v>0.1</v>
      </c>
      <c r="F32" s="32">
        <f t="shared" si="2"/>
        <v>177.92500000000001</v>
      </c>
      <c r="G32" s="29" t="s">
        <v>275</v>
      </c>
      <c r="H32" s="29"/>
      <c r="I32" s="29"/>
      <c r="J32" s="33"/>
      <c r="K32" s="34">
        <f t="shared" si="3"/>
        <v>0</v>
      </c>
      <c r="L32" s="35"/>
    </row>
    <row r="33" spans="1:12" s="37" customFormat="1" x14ac:dyDescent="0.25">
      <c r="A33" s="30">
        <f>IF(F33&lt;&gt;"",1+MAX($A$7:A32),"")</f>
        <v>19</v>
      </c>
      <c r="B33" s="31"/>
      <c r="C33" s="37" t="s">
        <v>1057</v>
      </c>
      <c r="D33" s="46">
        <v>13241.41</v>
      </c>
      <c r="E33" s="28">
        <v>0.1</v>
      </c>
      <c r="F33" s="32">
        <f t="shared" si="2"/>
        <v>14565.551000000001</v>
      </c>
      <c r="G33" s="29" t="s">
        <v>275</v>
      </c>
      <c r="H33" s="29"/>
      <c r="I33" s="29"/>
      <c r="J33" s="33"/>
      <c r="K33" s="34">
        <f t="shared" si="3"/>
        <v>0</v>
      </c>
      <c r="L33" s="35"/>
    </row>
    <row r="34" spans="1:12" s="37" customFormat="1" x14ac:dyDescent="0.25">
      <c r="A34" s="30">
        <f>IF(F34&lt;&gt;"",1+MAX($A$7:A33),"")</f>
        <v>20</v>
      </c>
      <c r="B34" s="31"/>
      <c r="C34" s="37" t="s">
        <v>638</v>
      </c>
      <c r="D34" s="46">
        <v>342.83</v>
      </c>
      <c r="E34" s="28">
        <v>0.1</v>
      </c>
      <c r="F34" s="32">
        <f t="shared" si="2"/>
        <v>377.113</v>
      </c>
      <c r="G34" s="29" t="s">
        <v>275</v>
      </c>
      <c r="H34" s="29"/>
      <c r="I34" s="29"/>
      <c r="J34" s="33"/>
      <c r="K34" s="34">
        <f t="shared" si="3"/>
        <v>0</v>
      </c>
      <c r="L34" s="35"/>
    </row>
    <row r="35" spans="1:12" s="37" customFormat="1" x14ac:dyDescent="0.25">
      <c r="A35" s="30">
        <f>IF(F35&lt;&gt;"",1+MAX($A$7:A34),"")</f>
        <v>21</v>
      </c>
      <c r="B35" s="31"/>
      <c r="C35" s="37" t="s">
        <v>936</v>
      </c>
      <c r="D35" s="46">
        <v>487.41</v>
      </c>
      <c r="E35" s="28">
        <v>0.1</v>
      </c>
      <c r="F35" s="32">
        <f t="shared" si="2"/>
        <v>536.15100000000007</v>
      </c>
      <c r="G35" s="29" t="s">
        <v>275</v>
      </c>
      <c r="H35" s="29"/>
      <c r="I35" s="29"/>
      <c r="J35" s="33"/>
      <c r="K35" s="34">
        <f t="shared" si="3"/>
        <v>0</v>
      </c>
      <c r="L35" s="35"/>
    </row>
    <row r="36" spans="1:12" s="37" customFormat="1" x14ac:dyDescent="0.25">
      <c r="A36" s="30">
        <f>IF(F36&lt;&gt;"",1+MAX($A$7:A35),"")</f>
        <v>22</v>
      </c>
      <c r="B36" s="31"/>
      <c r="C36" s="37" t="s">
        <v>850</v>
      </c>
      <c r="D36" s="46">
        <v>9144.08</v>
      </c>
      <c r="E36" s="28">
        <v>0.1</v>
      </c>
      <c r="F36" s="32">
        <f t="shared" si="2"/>
        <v>10058.488000000001</v>
      </c>
      <c r="G36" s="29" t="s">
        <v>275</v>
      </c>
      <c r="H36" s="29"/>
      <c r="I36" s="29"/>
      <c r="J36" s="33"/>
      <c r="K36" s="34">
        <f t="shared" si="3"/>
        <v>0</v>
      </c>
      <c r="L36" s="35"/>
    </row>
    <row r="37" spans="1:12" s="37" customFormat="1" x14ac:dyDescent="0.25">
      <c r="A37" s="30">
        <f>IF(F37&lt;&gt;"",1+MAX($A$7:A36),"")</f>
        <v>23</v>
      </c>
      <c r="B37" s="31"/>
      <c r="C37" s="37" t="s">
        <v>851</v>
      </c>
      <c r="D37" s="46">
        <v>2973.75</v>
      </c>
      <c r="E37" s="28">
        <v>0.1</v>
      </c>
      <c r="F37" s="32">
        <f t="shared" si="2"/>
        <v>3271.1250000000005</v>
      </c>
      <c r="G37" s="29" t="s">
        <v>275</v>
      </c>
      <c r="H37" s="29"/>
      <c r="I37" s="29"/>
      <c r="J37" s="33"/>
      <c r="K37" s="34">
        <f t="shared" si="3"/>
        <v>0</v>
      </c>
      <c r="L37" s="35"/>
    </row>
    <row r="38" spans="1:12" s="37" customFormat="1" x14ac:dyDescent="0.25">
      <c r="A38" s="30">
        <f>IF(F38&lt;&gt;"",1+MAX($A$7:A37),"")</f>
        <v>24</v>
      </c>
      <c r="B38" s="31"/>
      <c r="C38" s="37" t="s">
        <v>852</v>
      </c>
      <c r="D38" s="46">
        <f>3989.52+7739.89</f>
        <v>11729.41</v>
      </c>
      <c r="E38" s="28">
        <v>0.1</v>
      </c>
      <c r="F38" s="32">
        <f t="shared" si="2"/>
        <v>12902.351000000001</v>
      </c>
      <c r="G38" s="29" t="s">
        <v>275</v>
      </c>
      <c r="H38" s="29"/>
      <c r="I38" s="29"/>
      <c r="J38" s="33"/>
      <c r="K38" s="34">
        <f t="shared" si="3"/>
        <v>0</v>
      </c>
      <c r="L38" s="35"/>
    </row>
    <row r="39" spans="1:12" s="37" customFormat="1" x14ac:dyDescent="0.25">
      <c r="A39" s="30">
        <f>IF(F39&lt;&gt;"",1+MAX($A$7:A38),"")</f>
        <v>25</v>
      </c>
      <c r="B39" s="31"/>
      <c r="C39" s="37" t="s">
        <v>639</v>
      </c>
      <c r="D39" s="46">
        <v>31.809200000000001</v>
      </c>
      <c r="E39" s="28">
        <v>0.1</v>
      </c>
      <c r="F39" s="32">
        <f t="shared" si="2"/>
        <v>34.990120000000005</v>
      </c>
      <c r="G39" s="29" t="s">
        <v>65</v>
      </c>
      <c r="H39" s="29"/>
      <c r="I39" s="29"/>
      <c r="J39" s="33"/>
      <c r="K39" s="34">
        <f t="shared" si="3"/>
        <v>0</v>
      </c>
      <c r="L39" s="35"/>
    </row>
    <row r="40" spans="1:12" s="37" customFormat="1" x14ac:dyDescent="0.25">
      <c r="A40" s="30">
        <f>IF(F40&lt;&gt;"",1+MAX($A$7:A39),"")</f>
        <v>26</v>
      </c>
      <c r="B40" s="31"/>
      <c r="C40" s="37" t="s">
        <v>640</v>
      </c>
      <c r="D40" s="46">
        <v>47.451099999999997</v>
      </c>
      <c r="E40" s="28">
        <v>0.1</v>
      </c>
      <c r="F40" s="32">
        <f t="shared" si="2"/>
        <v>52.196210000000001</v>
      </c>
      <c r="G40" s="29" t="s">
        <v>65</v>
      </c>
      <c r="H40" s="29"/>
      <c r="I40" s="29"/>
      <c r="J40" s="33"/>
      <c r="K40" s="34">
        <f t="shared" si="3"/>
        <v>0</v>
      </c>
      <c r="L40" s="35"/>
    </row>
    <row r="41" spans="1:12" s="37" customFormat="1" x14ac:dyDescent="0.25">
      <c r="A41" s="30">
        <f>IF(F41&lt;&gt;"",1+MAX($A$7:A40),"")</f>
        <v>27</v>
      </c>
      <c r="B41" s="31"/>
      <c r="C41" s="37" t="s">
        <v>641</v>
      </c>
      <c r="D41" s="46">
        <v>129.67349999999999</v>
      </c>
      <c r="E41" s="28">
        <v>0.1</v>
      </c>
      <c r="F41" s="32">
        <f t="shared" si="2"/>
        <v>142.64085</v>
      </c>
      <c r="G41" s="29" t="s">
        <v>65</v>
      </c>
      <c r="H41" s="29"/>
      <c r="I41" s="29"/>
      <c r="J41" s="33"/>
      <c r="K41" s="34">
        <f t="shared" si="3"/>
        <v>0</v>
      </c>
      <c r="L41" s="35"/>
    </row>
    <row r="42" spans="1:12" s="37" customFormat="1" x14ac:dyDescent="0.25">
      <c r="A42" s="30">
        <f>IF(F42&lt;&gt;"",1+MAX($A$7:A41),"")</f>
        <v>28</v>
      </c>
      <c r="B42" s="31"/>
      <c r="C42" s="37" t="s">
        <v>972</v>
      </c>
      <c r="D42" s="46">
        <v>162.18450000000001</v>
      </c>
      <c r="E42" s="28">
        <v>0.1</v>
      </c>
      <c r="F42" s="32">
        <f t="shared" si="2"/>
        <v>178.40295000000003</v>
      </c>
      <c r="G42" s="29" t="s">
        <v>65</v>
      </c>
      <c r="H42" s="29"/>
      <c r="I42" s="29"/>
      <c r="J42" s="33"/>
      <c r="K42" s="34">
        <f t="shared" si="3"/>
        <v>0</v>
      </c>
      <c r="L42" s="35"/>
    </row>
    <row r="43" spans="1:12" s="37" customFormat="1" x14ac:dyDescent="0.25">
      <c r="A43" s="30">
        <f>IF(F43&lt;&gt;"",1+MAX($A$7:A42),"")</f>
        <v>29</v>
      </c>
      <c r="B43" s="31"/>
      <c r="C43" s="37" t="s">
        <v>642</v>
      </c>
      <c r="D43" s="46">
        <v>28.588200000000001</v>
      </c>
      <c r="E43" s="28">
        <v>0.1</v>
      </c>
      <c r="F43" s="32">
        <f t="shared" si="2"/>
        <v>31.447020000000002</v>
      </c>
      <c r="G43" s="29" t="s">
        <v>65</v>
      </c>
      <c r="H43" s="29"/>
      <c r="I43" s="29"/>
      <c r="J43" s="33"/>
      <c r="K43" s="34">
        <f t="shared" si="3"/>
        <v>0</v>
      </c>
      <c r="L43" s="35"/>
    </row>
    <row r="44" spans="1:12" s="37" customFormat="1" x14ac:dyDescent="0.25">
      <c r="A44" s="30">
        <f>IF(F44&lt;&gt;"",1+MAX($A$7:A43),"")</f>
        <v>30</v>
      </c>
      <c r="B44" s="31"/>
      <c r="C44" s="37" t="s">
        <v>973</v>
      </c>
      <c r="D44" s="46">
        <f>104.33+784.5101+107</f>
        <v>995.84010000000001</v>
      </c>
      <c r="E44" s="28">
        <v>0.1</v>
      </c>
      <c r="F44" s="32">
        <f t="shared" si="2"/>
        <v>1095.4241100000002</v>
      </c>
      <c r="G44" s="29" t="s">
        <v>65</v>
      </c>
      <c r="H44" s="29"/>
      <c r="I44" s="29"/>
      <c r="J44" s="33"/>
      <c r="K44" s="34">
        <f t="shared" si="3"/>
        <v>0</v>
      </c>
      <c r="L44" s="35"/>
    </row>
    <row r="45" spans="1:12" s="37" customFormat="1" x14ac:dyDescent="0.25">
      <c r="A45" s="30">
        <f>IF(F45&lt;&gt;"",1+MAX($A$7:A44),"")</f>
        <v>31</v>
      </c>
      <c r="B45" s="31"/>
      <c r="C45" s="37" t="s">
        <v>643</v>
      </c>
      <c r="D45" s="46">
        <v>54.496099999999998</v>
      </c>
      <c r="E45" s="28">
        <v>0.1</v>
      </c>
      <c r="F45" s="32">
        <f t="shared" si="2"/>
        <v>59.945710000000005</v>
      </c>
      <c r="G45" s="29" t="s">
        <v>65</v>
      </c>
      <c r="H45" s="29"/>
      <c r="I45" s="29"/>
      <c r="J45" s="33"/>
      <c r="K45" s="34">
        <f t="shared" si="3"/>
        <v>0</v>
      </c>
      <c r="L45" s="35"/>
    </row>
    <row r="46" spans="1:12" s="37" customFormat="1" x14ac:dyDescent="0.25">
      <c r="A46" s="30">
        <f>IF(F46&lt;&gt;"",1+MAX($A$7:A45),"")</f>
        <v>32</v>
      </c>
      <c r="B46" s="31"/>
      <c r="C46" s="37" t="s">
        <v>853</v>
      </c>
      <c r="D46" s="46">
        <v>519.70150000000001</v>
      </c>
      <c r="E46" s="28">
        <v>0.1</v>
      </c>
      <c r="F46" s="32">
        <f t="shared" si="2"/>
        <v>571.67165000000011</v>
      </c>
      <c r="G46" s="29" t="s">
        <v>65</v>
      </c>
      <c r="H46" s="29"/>
      <c r="I46" s="29"/>
      <c r="J46" s="33"/>
      <c r="K46" s="34">
        <f t="shared" si="3"/>
        <v>0</v>
      </c>
      <c r="L46" s="35"/>
    </row>
    <row r="47" spans="1:12" s="37" customFormat="1" x14ac:dyDescent="0.25">
      <c r="A47" s="30">
        <f>IF(F47&lt;&gt;"",1+MAX($A$7:A46),"")</f>
        <v>33</v>
      </c>
      <c r="B47" s="31"/>
      <c r="C47" s="37" t="s">
        <v>644</v>
      </c>
      <c r="D47" s="46">
        <v>30.293299999999999</v>
      </c>
      <c r="E47" s="28">
        <v>0.1</v>
      </c>
      <c r="F47" s="32">
        <f t="shared" si="2"/>
        <v>33.322630000000004</v>
      </c>
      <c r="G47" s="29" t="s">
        <v>65</v>
      </c>
      <c r="H47" s="29"/>
      <c r="I47" s="29"/>
      <c r="J47" s="33"/>
      <c r="K47" s="34">
        <f t="shared" si="3"/>
        <v>0</v>
      </c>
      <c r="L47" s="35"/>
    </row>
    <row r="48" spans="1:12" s="37" customFormat="1" x14ac:dyDescent="0.25">
      <c r="A48" s="30">
        <f>IF(F48&lt;&gt;"",1+MAX($A$7:A47),"")</f>
        <v>34</v>
      </c>
      <c r="B48" s="31"/>
      <c r="C48" s="37" t="s">
        <v>645</v>
      </c>
      <c r="D48" s="46">
        <v>393.38290000000001</v>
      </c>
      <c r="E48" s="28">
        <v>0.1</v>
      </c>
      <c r="F48" s="32">
        <f t="shared" si="2"/>
        <v>432.72119000000004</v>
      </c>
      <c r="G48" s="29" t="s">
        <v>65</v>
      </c>
      <c r="H48" s="29"/>
      <c r="I48" s="29"/>
      <c r="J48" s="33"/>
      <c r="K48" s="34">
        <f t="shared" si="3"/>
        <v>0</v>
      </c>
      <c r="L48" s="35"/>
    </row>
    <row r="49" spans="1:12" s="37" customFormat="1" x14ac:dyDescent="0.25">
      <c r="A49" s="30">
        <f>IF(F49&lt;&gt;"",1+MAX($A$7:A48),"")</f>
        <v>35</v>
      </c>
      <c r="B49" s="31"/>
      <c r="C49" s="37" t="s">
        <v>646</v>
      </c>
      <c r="D49" s="46">
        <v>396</v>
      </c>
      <c r="E49" s="28">
        <v>0.1</v>
      </c>
      <c r="F49" s="32">
        <f t="shared" si="2"/>
        <v>435.6</v>
      </c>
      <c r="G49" s="29" t="s">
        <v>65</v>
      </c>
      <c r="H49" s="29"/>
      <c r="I49" s="29"/>
      <c r="J49" s="33"/>
      <c r="K49" s="34">
        <f t="shared" si="3"/>
        <v>0</v>
      </c>
      <c r="L49" s="35"/>
    </row>
    <row r="50" spans="1:12" s="37" customFormat="1" x14ac:dyDescent="0.25">
      <c r="A50" s="30">
        <f>IF(F50&lt;&gt;"",1+MAX($A$7:A49),"")</f>
        <v>36</v>
      </c>
      <c r="B50" s="31"/>
      <c r="C50" s="37" t="s">
        <v>647</v>
      </c>
      <c r="D50" s="46">
        <v>543.91769999999997</v>
      </c>
      <c r="E50" s="28">
        <v>0.1</v>
      </c>
      <c r="F50" s="32">
        <f t="shared" si="2"/>
        <v>598.30947000000003</v>
      </c>
      <c r="G50" s="29" t="s">
        <v>65</v>
      </c>
      <c r="H50" s="29"/>
      <c r="I50" s="29"/>
      <c r="J50" s="33"/>
      <c r="K50" s="34">
        <f t="shared" si="3"/>
        <v>0</v>
      </c>
      <c r="L50" s="35"/>
    </row>
    <row r="51" spans="1:12" s="37" customFormat="1" x14ac:dyDescent="0.25">
      <c r="A51" s="30">
        <f>IF(F51&lt;&gt;"",1+MAX($A$7:A50),"")</f>
        <v>37</v>
      </c>
      <c r="B51" s="31"/>
      <c r="C51" s="37" t="s">
        <v>648</v>
      </c>
      <c r="D51" s="46">
        <v>1</v>
      </c>
      <c r="E51" s="28">
        <v>0</v>
      </c>
      <c r="F51" s="32">
        <f t="shared" si="2"/>
        <v>1</v>
      </c>
      <c r="G51" s="29" t="s">
        <v>66</v>
      </c>
      <c r="H51" s="29"/>
      <c r="I51" s="29"/>
      <c r="J51" s="33"/>
      <c r="K51" s="34">
        <f t="shared" si="3"/>
        <v>0</v>
      </c>
      <c r="L51" s="35"/>
    </row>
    <row r="52" spans="1:12" s="37" customFormat="1" x14ac:dyDescent="0.25">
      <c r="A52" s="30">
        <f>IF(F52&lt;&gt;"",1+MAX($A$7:A51),"")</f>
        <v>38</v>
      </c>
      <c r="B52" s="31"/>
      <c r="C52" s="37" t="s">
        <v>649</v>
      </c>
      <c r="D52" s="46">
        <v>1</v>
      </c>
      <c r="E52" s="28">
        <v>0</v>
      </c>
      <c r="F52" s="32">
        <f t="shared" ref="F52:F67" si="4">D52*(1+E52)</f>
        <v>1</v>
      </c>
      <c r="G52" s="29" t="s">
        <v>66</v>
      </c>
      <c r="H52" s="29"/>
      <c r="I52" s="29"/>
      <c r="J52" s="33"/>
      <c r="K52" s="34">
        <f t="shared" ref="K52:K67" si="5">J52*F52</f>
        <v>0</v>
      </c>
      <c r="L52" s="35"/>
    </row>
    <row r="53" spans="1:12" s="37" customFormat="1" x14ac:dyDescent="0.25">
      <c r="A53" s="30">
        <f>IF(F53&lt;&gt;"",1+MAX($A$7:A52),"")</f>
        <v>39</v>
      </c>
      <c r="B53" s="31"/>
      <c r="C53" s="37" t="s">
        <v>650</v>
      </c>
      <c r="D53" s="46">
        <v>1</v>
      </c>
      <c r="E53" s="28">
        <v>0</v>
      </c>
      <c r="F53" s="32">
        <f t="shared" si="4"/>
        <v>1</v>
      </c>
      <c r="G53" s="29" t="s">
        <v>66</v>
      </c>
      <c r="H53" s="29"/>
      <c r="I53" s="29"/>
      <c r="J53" s="33"/>
      <c r="K53" s="34">
        <f t="shared" si="5"/>
        <v>0</v>
      </c>
      <c r="L53" s="35"/>
    </row>
    <row r="54" spans="1:12" s="37" customFormat="1" x14ac:dyDescent="0.25">
      <c r="A54" s="30">
        <f>IF(F54&lt;&gt;"",1+MAX($A$7:A53),"")</f>
        <v>40</v>
      </c>
      <c r="B54" s="31"/>
      <c r="C54" s="37" t="s">
        <v>651</v>
      </c>
      <c r="D54" s="46">
        <v>1</v>
      </c>
      <c r="E54" s="28">
        <v>0</v>
      </c>
      <c r="F54" s="32">
        <f t="shared" si="4"/>
        <v>1</v>
      </c>
      <c r="G54" s="29" t="s">
        <v>66</v>
      </c>
      <c r="H54" s="29"/>
      <c r="I54" s="29"/>
      <c r="J54" s="33"/>
      <c r="K54" s="34">
        <f t="shared" si="5"/>
        <v>0</v>
      </c>
      <c r="L54" s="35"/>
    </row>
    <row r="55" spans="1:12" s="37" customFormat="1" x14ac:dyDescent="0.25">
      <c r="A55" s="30">
        <f>IF(F55&lt;&gt;"",1+MAX($A$7:A54),"")</f>
        <v>41</v>
      </c>
      <c r="B55" s="31"/>
      <c r="C55" s="37" t="s">
        <v>652</v>
      </c>
      <c r="D55" s="46">
        <v>6</v>
      </c>
      <c r="E55" s="28">
        <v>0</v>
      </c>
      <c r="F55" s="32">
        <f t="shared" si="4"/>
        <v>6</v>
      </c>
      <c r="G55" s="29" t="s">
        <v>66</v>
      </c>
      <c r="H55" s="29"/>
      <c r="I55" s="29"/>
      <c r="J55" s="33"/>
      <c r="K55" s="34">
        <f t="shared" si="5"/>
        <v>0</v>
      </c>
      <c r="L55" s="35"/>
    </row>
    <row r="56" spans="1:12" s="37" customFormat="1" x14ac:dyDescent="0.25">
      <c r="A56" s="30">
        <f>IF(F56&lt;&gt;"",1+MAX($A$7:A55),"")</f>
        <v>42</v>
      </c>
      <c r="B56" s="31"/>
      <c r="C56" s="37" t="s">
        <v>653</v>
      </c>
      <c r="D56" s="46">
        <v>1</v>
      </c>
      <c r="E56" s="28">
        <v>0</v>
      </c>
      <c r="F56" s="32">
        <f t="shared" si="4"/>
        <v>1</v>
      </c>
      <c r="G56" s="29" t="s">
        <v>66</v>
      </c>
      <c r="H56" s="29"/>
      <c r="I56" s="29"/>
      <c r="J56" s="33"/>
      <c r="K56" s="34">
        <f t="shared" si="5"/>
        <v>0</v>
      </c>
      <c r="L56" s="35"/>
    </row>
    <row r="57" spans="1:12" s="37" customFormat="1" x14ac:dyDescent="0.25">
      <c r="A57" s="30">
        <f>IF(F57&lt;&gt;"",1+MAX($A$7:A56),"")</f>
        <v>43</v>
      </c>
      <c r="B57" s="31"/>
      <c r="C57" s="37" t="s">
        <v>654</v>
      </c>
      <c r="D57" s="46">
        <v>3</v>
      </c>
      <c r="E57" s="28">
        <v>0</v>
      </c>
      <c r="F57" s="32">
        <f t="shared" si="4"/>
        <v>3</v>
      </c>
      <c r="G57" s="29" t="s">
        <v>66</v>
      </c>
      <c r="H57" s="29"/>
      <c r="I57" s="29"/>
      <c r="J57" s="33"/>
      <c r="K57" s="34">
        <f t="shared" si="5"/>
        <v>0</v>
      </c>
      <c r="L57" s="35"/>
    </row>
    <row r="58" spans="1:12" s="37" customFormat="1" x14ac:dyDescent="0.25">
      <c r="A58" s="30">
        <f>IF(F58&lt;&gt;"",1+MAX($A$7:A57),"")</f>
        <v>44</v>
      </c>
      <c r="B58" s="31"/>
      <c r="C58" s="37" t="s">
        <v>655</v>
      </c>
      <c r="D58" s="46">
        <v>1</v>
      </c>
      <c r="E58" s="28">
        <v>0</v>
      </c>
      <c r="F58" s="32">
        <f t="shared" si="4"/>
        <v>1</v>
      </c>
      <c r="G58" s="29" t="s">
        <v>66</v>
      </c>
      <c r="H58" s="29"/>
      <c r="I58" s="29"/>
      <c r="J58" s="33"/>
      <c r="K58" s="34">
        <f t="shared" si="5"/>
        <v>0</v>
      </c>
      <c r="L58" s="35"/>
    </row>
    <row r="59" spans="1:12" s="37" customFormat="1" x14ac:dyDescent="0.25">
      <c r="A59" s="30">
        <f>IF(F59&lt;&gt;"",1+MAX($A$7:A58),"")</f>
        <v>45</v>
      </c>
      <c r="B59" s="31"/>
      <c r="C59" s="37" t="s">
        <v>974</v>
      </c>
      <c r="D59" s="46">
        <v>17</v>
      </c>
      <c r="E59" s="28">
        <v>0</v>
      </c>
      <c r="F59" s="32">
        <f t="shared" si="4"/>
        <v>17</v>
      </c>
      <c r="G59" s="29" t="s">
        <v>66</v>
      </c>
      <c r="H59" s="29"/>
      <c r="I59" s="29"/>
      <c r="J59" s="33"/>
      <c r="K59" s="34">
        <f t="shared" si="5"/>
        <v>0</v>
      </c>
      <c r="L59" s="35"/>
    </row>
    <row r="60" spans="1:12" s="37" customFormat="1" x14ac:dyDescent="0.25">
      <c r="A60" s="30">
        <f>IF(F60&lt;&gt;"",1+MAX($A$7:A59),"")</f>
        <v>46</v>
      </c>
      <c r="B60" s="31"/>
      <c r="C60" s="37" t="s">
        <v>854</v>
      </c>
      <c r="D60" s="46">
        <v>2</v>
      </c>
      <c r="E60" s="28">
        <v>0</v>
      </c>
      <c r="F60" s="32">
        <f t="shared" si="4"/>
        <v>2</v>
      </c>
      <c r="G60" s="29" t="s">
        <v>66</v>
      </c>
      <c r="H60" s="29"/>
      <c r="I60" s="29"/>
      <c r="J60" s="33"/>
      <c r="K60" s="34">
        <f t="shared" si="5"/>
        <v>0</v>
      </c>
      <c r="L60" s="35"/>
    </row>
    <row r="61" spans="1:12" s="37" customFormat="1" x14ac:dyDescent="0.25">
      <c r="A61" s="30">
        <f>IF(F61&lt;&gt;"",1+MAX($A$7:A60),"")</f>
        <v>47</v>
      </c>
      <c r="B61" s="31"/>
      <c r="C61" s="37" t="s">
        <v>656</v>
      </c>
      <c r="D61" s="46">
        <v>1</v>
      </c>
      <c r="E61" s="28">
        <v>0</v>
      </c>
      <c r="F61" s="32">
        <f t="shared" si="4"/>
        <v>1</v>
      </c>
      <c r="G61" s="29" t="s">
        <v>66</v>
      </c>
      <c r="H61" s="29"/>
      <c r="I61" s="29"/>
      <c r="J61" s="33"/>
      <c r="K61" s="34">
        <f t="shared" si="5"/>
        <v>0</v>
      </c>
      <c r="L61" s="35"/>
    </row>
    <row r="62" spans="1:12" s="37" customFormat="1" x14ac:dyDescent="0.25">
      <c r="A62" s="30">
        <f>IF(F62&lt;&gt;"",1+MAX($A$7:A61),"")</f>
        <v>48</v>
      </c>
      <c r="B62" s="31"/>
      <c r="C62" s="37" t="s">
        <v>657</v>
      </c>
      <c r="D62" s="46">
        <v>2</v>
      </c>
      <c r="E62" s="28">
        <v>0</v>
      </c>
      <c r="F62" s="32">
        <f t="shared" si="4"/>
        <v>2</v>
      </c>
      <c r="G62" s="29" t="s">
        <v>66</v>
      </c>
      <c r="H62" s="29"/>
      <c r="I62" s="29"/>
      <c r="J62" s="33"/>
      <c r="K62" s="34">
        <f t="shared" si="5"/>
        <v>0</v>
      </c>
      <c r="L62" s="35"/>
    </row>
    <row r="63" spans="1:12" s="37" customFormat="1" x14ac:dyDescent="0.25">
      <c r="A63" s="30">
        <f>IF(F63&lt;&gt;"",1+MAX($A$7:A62),"")</f>
        <v>49</v>
      </c>
      <c r="B63" s="31"/>
      <c r="C63" s="37" t="s">
        <v>658</v>
      </c>
      <c r="D63" s="46">
        <v>6</v>
      </c>
      <c r="E63" s="28">
        <v>0</v>
      </c>
      <c r="F63" s="32">
        <f t="shared" si="4"/>
        <v>6</v>
      </c>
      <c r="G63" s="29" t="s">
        <v>66</v>
      </c>
      <c r="H63" s="29"/>
      <c r="I63" s="29"/>
      <c r="J63" s="33"/>
      <c r="K63" s="34">
        <f t="shared" si="5"/>
        <v>0</v>
      </c>
      <c r="L63" s="35"/>
    </row>
    <row r="64" spans="1:12" s="37" customFormat="1" x14ac:dyDescent="0.25">
      <c r="A64" s="30">
        <f>IF(F64&lt;&gt;"",1+MAX($A$7:A63),"")</f>
        <v>50</v>
      </c>
      <c r="B64" s="31"/>
      <c r="C64" s="37" t="s">
        <v>659</v>
      </c>
      <c r="D64" s="46">
        <v>4</v>
      </c>
      <c r="E64" s="28">
        <v>0</v>
      </c>
      <c r="F64" s="32">
        <f t="shared" si="4"/>
        <v>4</v>
      </c>
      <c r="G64" s="29" t="s">
        <v>66</v>
      </c>
      <c r="H64" s="29"/>
      <c r="I64" s="29"/>
      <c r="J64" s="33"/>
      <c r="K64" s="34">
        <f t="shared" si="5"/>
        <v>0</v>
      </c>
      <c r="L64" s="35"/>
    </row>
    <row r="65" spans="1:12" s="37" customFormat="1" x14ac:dyDescent="0.25">
      <c r="A65" s="30">
        <f>IF(F65&lt;&gt;"",1+MAX($A$7:A64),"")</f>
        <v>51</v>
      </c>
      <c r="B65" s="31"/>
      <c r="C65" s="37" t="s">
        <v>660</v>
      </c>
      <c r="D65" s="46">
        <v>2</v>
      </c>
      <c r="E65" s="28">
        <v>0</v>
      </c>
      <c r="F65" s="32">
        <f t="shared" si="4"/>
        <v>2</v>
      </c>
      <c r="G65" s="29" t="s">
        <v>66</v>
      </c>
      <c r="H65" s="29"/>
      <c r="I65" s="29"/>
      <c r="J65" s="33"/>
      <c r="K65" s="34">
        <f t="shared" si="5"/>
        <v>0</v>
      </c>
      <c r="L65" s="35"/>
    </row>
    <row r="66" spans="1:12" s="37" customFormat="1" x14ac:dyDescent="0.25">
      <c r="A66" s="30">
        <f>IF(F66&lt;&gt;"",1+MAX($A$7:A65),"")</f>
        <v>52</v>
      </c>
      <c r="B66" s="31"/>
      <c r="C66" s="37" t="s">
        <v>661</v>
      </c>
      <c r="D66" s="46">
        <v>1</v>
      </c>
      <c r="E66" s="28">
        <v>0</v>
      </c>
      <c r="F66" s="32">
        <f t="shared" si="4"/>
        <v>1</v>
      </c>
      <c r="G66" s="29" t="s">
        <v>66</v>
      </c>
      <c r="H66" s="29"/>
      <c r="I66" s="29"/>
      <c r="J66" s="33"/>
      <c r="K66" s="34">
        <f t="shared" si="5"/>
        <v>0</v>
      </c>
      <c r="L66" s="35"/>
    </row>
    <row r="67" spans="1:12" s="37" customFormat="1" x14ac:dyDescent="0.25">
      <c r="A67" s="30">
        <f>IF(F67&lt;&gt;"",1+MAX($A$7:A66),"")</f>
        <v>53</v>
      </c>
      <c r="B67" s="31"/>
      <c r="C67" s="37" t="s">
        <v>937</v>
      </c>
      <c r="D67" s="46">
        <v>21</v>
      </c>
      <c r="E67" s="28">
        <v>0</v>
      </c>
      <c r="F67" s="32">
        <f t="shared" si="4"/>
        <v>21</v>
      </c>
      <c r="G67" s="29" t="s">
        <v>66</v>
      </c>
      <c r="H67" s="29"/>
      <c r="I67" s="29"/>
      <c r="J67" s="33"/>
      <c r="K67" s="34">
        <f t="shared" si="5"/>
        <v>0</v>
      </c>
      <c r="L67" s="35"/>
    </row>
    <row r="68" spans="1:12" s="37" customFormat="1" x14ac:dyDescent="0.25">
      <c r="A68" s="30">
        <f>IF(F68&lt;&gt;"",1+MAX($A$7:A67),"")</f>
        <v>54</v>
      </c>
      <c r="B68" s="31"/>
      <c r="C68" s="37" t="s">
        <v>662</v>
      </c>
      <c r="D68" s="46">
        <v>2</v>
      </c>
      <c r="E68" s="28">
        <v>0</v>
      </c>
      <c r="F68" s="32">
        <f t="shared" ref="F68:F69" si="6">D68*(1+E68)</f>
        <v>2</v>
      </c>
      <c r="G68" s="29" t="s">
        <v>66</v>
      </c>
      <c r="H68" s="29"/>
      <c r="I68" s="29"/>
      <c r="J68" s="33"/>
      <c r="K68" s="34">
        <f t="shared" ref="K68:K69" si="7">J68*F68</f>
        <v>0</v>
      </c>
      <c r="L68" s="35"/>
    </row>
    <row r="69" spans="1:12" s="37" customFormat="1" x14ac:dyDescent="0.25">
      <c r="A69" s="30">
        <f>IF(F69&lt;&gt;"",1+MAX($A$7:A68),"")</f>
        <v>55</v>
      </c>
      <c r="B69" s="31"/>
      <c r="C69" s="37" t="s">
        <v>663</v>
      </c>
      <c r="D69" s="46">
        <v>1</v>
      </c>
      <c r="E69" s="28">
        <v>0</v>
      </c>
      <c r="F69" s="32">
        <f t="shared" si="6"/>
        <v>1</v>
      </c>
      <c r="G69" s="29" t="s">
        <v>66</v>
      </c>
      <c r="H69" s="29"/>
      <c r="I69" s="29"/>
      <c r="J69" s="33"/>
      <c r="K69" s="34">
        <f t="shared" si="7"/>
        <v>0</v>
      </c>
      <c r="L69" s="35"/>
    </row>
    <row r="70" spans="1:12" s="37" customFormat="1" x14ac:dyDescent="0.25">
      <c r="A70" s="30" t="str">
        <f>IF(F70&lt;&gt;"",1+MAX($A$7:A69),"")</f>
        <v/>
      </c>
      <c r="B70" s="31"/>
      <c r="D70" s="46"/>
      <c r="E70" s="28"/>
      <c r="F70" s="32"/>
      <c r="G70" s="29"/>
      <c r="H70" s="29"/>
      <c r="I70" s="29"/>
      <c r="J70" s="33"/>
      <c r="K70" s="34"/>
      <c r="L70" s="35"/>
    </row>
    <row r="71" spans="1:12" s="37" customFormat="1" x14ac:dyDescent="0.25">
      <c r="A71" s="30" t="str">
        <f>IF(F71&lt;&gt;"",1+MAX($A$7:A70),"")</f>
        <v/>
      </c>
      <c r="B71" s="31"/>
      <c r="C71" s="98" t="s">
        <v>371</v>
      </c>
      <c r="D71" s="46"/>
      <c r="E71" s="28"/>
      <c r="F71" s="32"/>
      <c r="G71" s="29"/>
      <c r="H71" s="29"/>
      <c r="I71" s="29"/>
      <c r="J71" s="33"/>
      <c r="K71" s="34"/>
      <c r="L71" s="35"/>
    </row>
    <row r="72" spans="1:12" s="37" customFormat="1" x14ac:dyDescent="0.25">
      <c r="A72" s="30">
        <f>IF(F72&lt;&gt;"",1+MAX($A$7:A71),"")</f>
        <v>56</v>
      </c>
      <c r="B72" s="31"/>
      <c r="C72" s="37" t="s">
        <v>664</v>
      </c>
      <c r="D72" s="46">
        <v>106</v>
      </c>
      <c r="E72" s="28">
        <v>0.1</v>
      </c>
      <c r="F72" s="32">
        <f t="shared" ref="F72:F89" si="8">D72*(1+E72)</f>
        <v>116.60000000000001</v>
      </c>
      <c r="G72" s="29" t="s">
        <v>372</v>
      </c>
      <c r="H72" s="29"/>
      <c r="I72" s="29"/>
      <c r="J72" s="33"/>
      <c r="K72" s="34">
        <f t="shared" ref="K72:K89" si="9">J72*F72</f>
        <v>0</v>
      </c>
      <c r="L72" s="35"/>
    </row>
    <row r="73" spans="1:12" s="37" customFormat="1" x14ac:dyDescent="0.25">
      <c r="A73" s="30">
        <f>IF(F73&lt;&gt;"",1+MAX($A$7:A72),"")</f>
        <v>57</v>
      </c>
      <c r="B73" s="31"/>
      <c r="C73" s="37" t="s">
        <v>855</v>
      </c>
      <c r="D73" s="46">
        <v>10839.23</v>
      </c>
      <c r="E73" s="28">
        <v>0.1</v>
      </c>
      <c r="F73" s="32">
        <f t="shared" si="8"/>
        <v>11923.153</v>
      </c>
      <c r="G73" s="29" t="s">
        <v>275</v>
      </c>
      <c r="H73" s="29"/>
      <c r="I73" s="29"/>
      <c r="J73" s="33"/>
      <c r="K73" s="34">
        <f t="shared" si="9"/>
        <v>0</v>
      </c>
      <c r="L73" s="35"/>
    </row>
    <row r="74" spans="1:12" s="37" customFormat="1" x14ac:dyDescent="0.25">
      <c r="A74" s="30">
        <f>IF(F74&lt;&gt;"",1+MAX($A$7:A73),"")</f>
        <v>58</v>
      </c>
      <c r="B74" s="31"/>
      <c r="C74" s="37" t="s">
        <v>856</v>
      </c>
      <c r="D74" s="46">
        <v>556.94000000000005</v>
      </c>
      <c r="E74" s="28">
        <v>0.1</v>
      </c>
      <c r="F74" s="32">
        <f t="shared" si="8"/>
        <v>612.63400000000013</v>
      </c>
      <c r="G74" s="29" t="s">
        <v>275</v>
      </c>
      <c r="H74" s="29"/>
      <c r="I74" s="29"/>
      <c r="J74" s="33"/>
      <c r="K74" s="34">
        <f t="shared" si="9"/>
        <v>0</v>
      </c>
      <c r="L74" s="35"/>
    </row>
    <row r="75" spans="1:12" s="37" customFormat="1" x14ac:dyDescent="0.25">
      <c r="A75" s="30">
        <f>IF(F75&lt;&gt;"",1+MAX($A$7:A74),"")</f>
        <v>59</v>
      </c>
      <c r="B75" s="31"/>
      <c r="C75" s="37" t="s">
        <v>665</v>
      </c>
      <c r="D75" s="46">
        <v>11729.4</v>
      </c>
      <c r="E75" s="28">
        <v>0.1</v>
      </c>
      <c r="F75" s="32">
        <f t="shared" si="8"/>
        <v>12902.34</v>
      </c>
      <c r="G75" s="29" t="s">
        <v>275</v>
      </c>
      <c r="H75" s="29"/>
      <c r="I75" s="29"/>
      <c r="J75" s="33"/>
      <c r="K75" s="34">
        <f t="shared" si="9"/>
        <v>0</v>
      </c>
      <c r="L75" s="35"/>
    </row>
    <row r="76" spans="1:12" s="37" customFormat="1" x14ac:dyDescent="0.25">
      <c r="A76" s="30">
        <f>IF(F76&lt;&gt;"",1+MAX($A$7:A75),"")</f>
        <v>60</v>
      </c>
      <c r="B76" s="31"/>
      <c r="C76" s="37" t="s">
        <v>666</v>
      </c>
      <c r="D76" s="46">
        <v>26.85</v>
      </c>
      <c r="E76" s="28">
        <v>0.1</v>
      </c>
      <c r="F76" s="32">
        <f t="shared" si="8"/>
        <v>29.535000000000004</v>
      </c>
      <c r="G76" s="29" t="s">
        <v>275</v>
      </c>
      <c r="H76" s="29"/>
      <c r="I76" s="29"/>
      <c r="J76" s="33"/>
      <c r="K76" s="34">
        <f t="shared" si="9"/>
        <v>0</v>
      </c>
      <c r="L76" s="35"/>
    </row>
    <row r="77" spans="1:12" s="37" customFormat="1" x14ac:dyDescent="0.25">
      <c r="A77" s="30">
        <f>IF(F77&lt;&gt;"",1+MAX($A$7:A76),"")</f>
        <v>61</v>
      </c>
      <c r="B77" s="31"/>
      <c r="C77" s="37" t="s">
        <v>667</v>
      </c>
      <c r="D77" s="46">
        <v>330.02</v>
      </c>
      <c r="E77" s="28">
        <v>0.1</v>
      </c>
      <c r="F77" s="32">
        <f t="shared" si="8"/>
        <v>363.02199999999999</v>
      </c>
      <c r="G77" s="29" t="s">
        <v>275</v>
      </c>
      <c r="H77" s="29"/>
      <c r="I77" s="29"/>
      <c r="J77" s="33"/>
      <c r="K77" s="34">
        <f t="shared" si="9"/>
        <v>0</v>
      </c>
      <c r="L77" s="35"/>
    </row>
    <row r="78" spans="1:12" s="37" customFormat="1" x14ac:dyDescent="0.25">
      <c r="A78" s="30">
        <f>IF(F78&lt;&gt;"",1+MAX($A$7:A77),"")</f>
        <v>62</v>
      </c>
      <c r="B78" s="31"/>
      <c r="C78" s="37" t="s">
        <v>857</v>
      </c>
      <c r="D78" s="46">
        <v>895.67</v>
      </c>
      <c r="E78" s="28">
        <v>0.1</v>
      </c>
      <c r="F78" s="32">
        <f t="shared" si="8"/>
        <v>985.23700000000008</v>
      </c>
      <c r="G78" s="29" t="s">
        <v>275</v>
      </c>
      <c r="H78" s="29"/>
      <c r="I78" s="29"/>
      <c r="J78" s="33"/>
      <c r="K78" s="34">
        <f t="shared" si="9"/>
        <v>0</v>
      </c>
      <c r="L78" s="35"/>
    </row>
    <row r="79" spans="1:12" s="37" customFormat="1" x14ac:dyDescent="0.25">
      <c r="A79" s="30">
        <f>IF(F79&lt;&gt;"",1+MAX($A$7:A78),"")</f>
        <v>63</v>
      </c>
      <c r="B79" s="31"/>
      <c r="C79" s="37" t="s">
        <v>668</v>
      </c>
      <c r="D79" s="46">
        <v>67.72</v>
      </c>
      <c r="E79" s="28">
        <v>0.1</v>
      </c>
      <c r="F79" s="32">
        <f t="shared" si="8"/>
        <v>74.492000000000004</v>
      </c>
      <c r="G79" s="29" t="s">
        <v>275</v>
      </c>
      <c r="H79" s="29"/>
      <c r="I79" s="29"/>
      <c r="J79" s="33"/>
      <c r="K79" s="34">
        <f t="shared" si="9"/>
        <v>0</v>
      </c>
      <c r="L79" s="35"/>
    </row>
    <row r="80" spans="1:12" s="37" customFormat="1" x14ac:dyDescent="0.25">
      <c r="A80" s="30">
        <f>IF(F80&lt;&gt;"",1+MAX($A$7:A79),"")</f>
        <v>64</v>
      </c>
      <c r="B80" s="31"/>
      <c r="C80" s="37" t="s">
        <v>669</v>
      </c>
      <c r="D80" s="46">
        <v>3904.31</v>
      </c>
      <c r="E80" s="28">
        <v>0.1</v>
      </c>
      <c r="F80" s="32">
        <f t="shared" si="8"/>
        <v>4294.741</v>
      </c>
      <c r="G80" s="29" t="s">
        <v>275</v>
      </c>
      <c r="H80" s="29"/>
      <c r="I80" s="29"/>
      <c r="J80" s="33"/>
      <c r="K80" s="34">
        <f t="shared" si="9"/>
        <v>0</v>
      </c>
      <c r="L80" s="35"/>
    </row>
    <row r="81" spans="1:12" s="37" customFormat="1" x14ac:dyDescent="0.25">
      <c r="A81" s="30">
        <f>IF(F81&lt;&gt;"",1+MAX($A$7:A80),"")</f>
        <v>65</v>
      </c>
      <c r="B81" s="31"/>
      <c r="C81" s="37" t="s">
        <v>858</v>
      </c>
      <c r="D81" s="46">
        <v>3384.69</v>
      </c>
      <c r="E81" s="28">
        <v>0.1</v>
      </c>
      <c r="F81" s="32">
        <f t="shared" si="8"/>
        <v>3723.1590000000006</v>
      </c>
      <c r="G81" s="29" t="s">
        <v>275</v>
      </c>
      <c r="H81" s="29"/>
      <c r="I81" s="29"/>
      <c r="J81" s="33"/>
      <c r="K81" s="34">
        <f t="shared" si="9"/>
        <v>0</v>
      </c>
      <c r="L81" s="35"/>
    </row>
    <row r="82" spans="1:12" s="37" customFormat="1" x14ac:dyDescent="0.25">
      <c r="A82" s="30">
        <f>IF(F82&lt;&gt;"",1+MAX($A$7:A81),"")</f>
        <v>66</v>
      </c>
      <c r="B82" s="31"/>
      <c r="C82" s="37" t="s">
        <v>975</v>
      </c>
      <c r="D82" s="46">
        <v>4840.2</v>
      </c>
      <c r="E82" s="28">
        <v>0.1</v>
      </c>
      <c r="F82" s="32">
        <f t="shared" si="8"/>
        <v>5324.22</v>
      </c>
      <c r="G82" s="29" t="s">
        <v>275</v>
      </c>
      <c r="H82" s="29"/>
      <c r="I82" s="29"/>
      <c r="J82" s="33"/>
      <c r="K82" s="34">
        <f t="shared" si="9"/>
        <v>0</v>
      </c>
      <c r="L82" s="35"/>
    </row>
    <row r="83" spans="1:12" s="37" customFormat="1" x14ac:dyDescent="0.25">
      <c r="A83" s="30">
        <f>IF(F83&lt;&gt;"",1+MAX($A$7:A82),"")</f>
        <v>67</v>
      </c>
      <c r="B83" s="31"/>
      <c r="C83" s="37" t="s">
        <v>859</v>
      </c>
      <c r="D83" s="46">
        <v>1299.93</v>
      </c>
      <c r="E83" s="28">
        <v>0.1</v>
      </c>
      <c r="F83" s="32">
        <f t="shared" si="8"/>
        <v>1429.9230000000002</v>
      </c>
      <c r="G83" s="29" t="s">
        <v>275</v>
      </c>
      <c r="H83" s="29"/>
      <c r="I83" s="29"/>
      <c r="J83" s="33"/>
      <c r="K83" s="34">
        <f t="shared" si="9"/>
        <v>0</v>
      </c>
      <c r="L83" s="35"/>
    </row>
    <row r="84" spans="1:12" s="37" customFormat="1" x14ac:dyDescent="0.25">
      <c r="A84" s="30">
        <f>IF(F84&lt;&gt;"",1+MAX($A$7:A83),"")</f>
        <v>68</v>
      </c>
      <c r="B84" s="31"/>
      <c r="C84" s="37" t="s">
        <v>860</v>
      </c>
      <c r="D84" s="46">
        <v>817.09</v>
      </c>
      <c r="E84" s="28">
        <v>0.1</v>
      </c>
      <c r="F84" s="32">
        <f t="shared" si="8"/>
        <v>898.79900000000009</v>
      </c>
      <c r="G84" s="29" t="s">
        <v>275</v>
      </c>
      <c r="H84" s="29"/>
      <c r="I84" s="29"/>
      <c r="J84" s="33"/>
      <c r="K84" s="34">
        <f t="shared" si="9"/>
        <v>0</v>
      </c>
      <c r="L84" s="35"/>
    </row>
    <row r="85" spans="1:12" s="37" customFormat="1" x14ac:dyDescent="0.25">
      <c r="A85" s="30">
        <f>IF(F85&lt;&gt;"",1+MAX($A$7:A84),"")</f>
        <v>69</v>
      </c>
      <c r="B85" s="31"/>
      <c r="C85" s="37" t="s">
        <v>976</v>
      </c>
      <c r="D85" s="46">
        <v>71.69</v>
      </c>
      <c r="E85" s="28">
        <v>0.1</v>
      </c>
      <c r="F85" s="32">
        <f t="shared" si="8"/>
        <v>78.859000000000009</v>
      </c>
      <c r="G85" s="29" t="s">
        <v>275</v>
      </c>
      <c r="H85" s="29"/>
      <c r="I85" s="29"/>
      <c r="J85" s="33"/>
      <c r="K85" s="34">
        <f t="shared" si="9"/>
        <v>0</v>
      </c>
      <c r="L85" s="35"/>
    </row>
    <row r="86" spans="1:12" s="37" customFormat="1" x14ac:dyDescent="0.25">
      <c r="A86" s="30">
        <f>IF(F86&lt;&gt;"",1+MAX($A$7:A85),"")</f>
        <v>70</v>
      </c>
      <c r="B86" s="31"/>
      <c r="C86" s="37" t="s">
        <v>938</v>
      </c>
      <c r="D86" s="46">
        <v>4412.88</v>
      </c>
      <c r="E86" s="28">
        <v>0.1</v>
      </c>
      <c r="F86" s="32">
        <f t="shared" si="8"/>
        <v>4854.1680000000006</v>
      </c>
      <c r="G86" s="29" t="s">
        <v>275</v>
      </c>
      <c r="H86" s="29"/>
      <c r="I86" s="29"/>
      <c r="J86" s="33"/>
      <c r="K86" s="34">
        <f t="shared" si="9"/>
        <v>0</v>
      </c>
      <c r="L86" s="35"/>
    </row>
    <row r="87" spans="1:12" s="37" customFormat="1" x14ac:dyDescent="0.25">
      <c r="A87" s="30">
        <f>IF(F87&lt;&gt;"",1+MAX($A$7:A86),"")</f>
        <v>71</v>
      </c>
      <c r="B87" s="31"/>
      <c r="C87" s="37" t="s">
        <v>939</v>
      </c>
      <c r="D87" s="46">
        <f>1514.66+13232.88+2904.44</f>
        <v>17651.98</v>
      </c>
      <c r="E87" s="28">
        <v>0.1</v>
      </c>
      <c r="F87" s="32">
        <f t="shared" si="8"/>
        <v>19417.178</v>
      </c>
      <c r="G87" s="29" t="s">
        <v>275</v>
      </c>
      <c r="H87" s="29"/>
      <c r="I87" s="29"/>
      <c r="J87" s="33"/>
      <c r="K87" s="34">
        <f t="shared" si="9"/>
        <v>0</v>
      </c>
      <c r="L87" s="35"/>
    </row>
    <row r="88" spans="1:12" s="37" customFormat="1" x14ac:dyDescent="0.25">
      <c r="A88" s="30">
        <f>IF(F88&lt;&gt;"",1+MAX($A$7:A87),"")</f>
        <v>72</v>
      </c>
      <c r="B88" s="31"/>
      <c r="C88" s="37" t="s">
        <v>670</v>
      </c>
      <c r="D88" s="46">
        <v>55.7</v>
      </c>
      <c r="E88" s="28">
        <v>0.1</v>
      </c>
      <c r="F88" s="32">
        <f t="shared" si="8"/>
        <v>61.27000000000001</v>
      </c>
      <c r="G88" s="29" t="s">
        <v>275</v>
      </c>
      <c r="H88" s="29"/>
      <c r="I88" s="29"/>
      <c r="J88" s="33"/>
      <c r="K88" s="34">
        <f t="shared" si="9"/>
        <v>0</v>
      </c>
      <c r="L88" s="35"/>
    </row>
    <row r="89" spans="1:12" s="37" customFormat="1" x14ac:dyDescent="0.25">
      <c r="A89" s="30">
        <f>IF(F89&lt;&gt;"",1+MAX($A$7:A88),"")</f>
        <v>73</v>
      </c>
      <c r="B89" s="31"/>
      <c r="C89" s="37" t="s">
        <v>1024</v>
      </c>
      <c r="D89" s="46">
        <v>18242.7</v>
      </c>
      <c r="E89" s="28">
        <v>0.1</v>
      </c>
      <c r="F89" s="32">
        <f t="shared" si="8"/>
        <v>20066.97</v>
      </c>
      <c r="G89" s="29" t="s">
        <v>275</v>
      </c>
      <c r="H89" s="29"/>
      <c r="I89" s="29"/>
      <c r="J89" s="33"/>
      <c r="K89" s="34">
        <f t="shared" si="9"/>
        <v>0</v>
      </c>
      <c r="L89" s="35"/>
    </row>
    <row r="90" spans="1:12" s="37" customFormat="1" x14ac:dyDescent="0.25">
      <c r="A90" s="30">
        <f>IF(F90&lt;&gt;"",1+MAX($A$7:A89),"")</f>
        <v>74</v>
      </c>
      <c r="B90" s="31"/>
      <c r="C90" s="37" t="s">
        <v>671</v>
      </c>
      <c r="D90" s="46">
        <v>172.8484</v>
      </c>
      <c r="E90" s="28">
        <v>0.1</v>
      </c>
      <c r="F90" s="32">
        <f t="shared" ref="F90:F103" si="10">D90*(1+E90)</f>
        <v>190.13324</v>
      </c>
      <c r="G90" s="29" t="s">
        <v>65</v>
      </c>
      <c r="H90" s="29"/>
      <c r="I90" s="29"/>
      <c r="J90" s="33"/>
      <c r="K90" s="34">
        <f t="shared" ref="K90:K103" si="11">J90*F90</f>
        <v>0</v>
      </c>
      <c r="L90" s="35"/>
    </row>
    <row r="91" spans="1:12" s="37" customFormat="1" x14ac:dyDescent="0.25">
      <c r="A91" s="30">
        <f>IF(F91&lt;&gt;"",1+MAX($A$7:A90),"")</f>
        <v>75</v>
      </c>
      <c r="B91" s="31"/>
      <c r="C91" s="37" t="s">
        <v>1068</v>
      </c>
      <c r="D91" s="46">
        <v>292.25409999999999</v>
      </c>
      <c r="E91" s="28">
        <v>0.1</v>
      </c>
      <c r="F91" s="32">
        <f t="shared" si="10"/>
        <v>321.47951</v>
      </c>
      <c r="G91" s="29" t="s">
        <v>65</v>
      </c>
      <c r="H91" s="29"/>
      <c r="I91" s="29"/>
      <c r="J91" s="33"/>
      <c r="K91" s="34">
        <f t="shared" si="11"/>
        <v>0</v>
      </c>
      <c r="L91" s="35"/>
    </row>
    <row r="92" spans="1:12" s="37" customFormat="1" x14ac:dyDescent="0.25">
      <c r="A92" s="30">
        <f>IF(F92&lt;&gt;"",1+MAX($A$7:A91),"")</f>
        <v>76</v>
      </c>
      <c r="B92" s="31"/>
      <c r="C92" s="37" t="s">
        <v>672</v>
      </c>
      <c r="D92" s="46">
        <v>542.81259999999997</v>
      </c>
      <c r="E92" s="28">
        <v>0.1</v>
      </c>
      <c r="F92" s="32">
        <f t="shared" si="10"/>
        <v>597.09386000000006</v>
      </c>
      <c r="G92" s="29" t="s">
        <v>65</v>
      </c>
      <c r="H92" s="29"/>
      <c r="I92" s="29"/>
      <c r="J92" s="33"/>
      <c r="K92" s="34">
        <f t="shared" si="11"/>
        <v>0</v>
      </c>
      <c r="L92" s="35"/>
    </row>
    <row r="93" spans="1:12" s="37" customFormat="1" x14ac:dyDescent="0.25">
      <c r="A93" s="30">
        <f>IF(F93&lt;&gt;"",1+MAX($A$7:A92),"")</f>
        <v>77</v>
      </c>
      <c r="B93" s="31"/>
      <c r="C93" s="37" t="s">
        <v>673</v>
      </c>
      <c r="D93" s="46">
        <v>49.040799999999997</v>
      </c>
      <c r="E93" s="28">
        <v>0.1</v>
      </c>
      <c r="F93" s="32">
        <f t="shared" si="10"/>
        <v>53.944880000000005</v>
      </c>
      <c r="G93" s="29" t="s">
        <v>65</v>
      </c>
      <c r="H93" s="29"/>
      <c r="I93" s="29"/>
      <c r="J93" s="33"/>
      <c r="K93" s="34">
        <f t="shared" si="11"/>
        <v>0</v>
      </c>
      <c r="L93" s="35"/>
    </row>
    <row r="94" spans="1:12" s="37" customFormat="1" x14ac:dyDescent="0.25">
      <c r="A94" s="30">
        <f>IF(F94&lt;&gt;"",1+MAX($A$7:A93),"")</f>
        <v>78</v>
      </c>
      <c r="B94" s="31"/>
      <c r="C94" s="37" t="s">
        <v>674</v>
      </c>
      <c r="D94" s="46">
        <v>17.546700000000001</v>
      </c>
      <c r="E94" s="28">
        <v>0.1</v>
      </c>
      <c r="F94" s="32">
        <f t="shared" si="10"/>
        <v>19.301370000000002</v>
      </c>
      <c r="G94" s="29" t="s">
        <v>65</v>
      </c>
      <c r="H94" s="29"/>
      <c r="I94" s="29"/>
      <c r="J94" s="33"/>
      <c r="K94" s="34">
        <f t="shared" si="11"/>
        <v>0</v>
      </c>
      <c r="L94" s="35"/>
    </row>
    <row r="95" spans="1:12" s="37" customFormat="1" x14ac:dyDescent="0.25">
      <c r="A95" s="30">
        <f>IF(F95&lt;&gt;"",1+MAX($A$7:A94),"")</f>
        <v>79</v>
      </c>
      <c r="B95" s="31"/>
      <c r="C95" s="37" t="s">
        <v>861</v>
      </c>
      <c r="D95" s="46">
        <v>125.3627</v>
      </c>
      <c r="E95" s="28">
        <v>0.1</v>
      </c>
      <c r="F95" s="32">
        <f t="shared" si="10"/>
        <v>137.89897000000002</v>
      </c>
      <c r="G95" s="29" t="s">
        <v>65</v>
      </c>
      <c r="H95" s="29"/>
      <c r="I95" s="29"/>
      <c r="J95" s="33"/>
      <c r="K95" s="34">
        <f t="shared" si="11"/>
        <v>0</v>
      </c>
      <c r="L95" s="35"/>
    </row>
    <row r="96" spans="1:12" s="37" customFormat="1" x14ac:dyDescent="0.25">
      <c r="A96" s="30">
        <f>IF(F96&lt;&gt;"",1+MAX($A$7:A95),"")</f>
        <v>80</v>
      </c>
      <c r="B96" s="31"/>
      <c r="C96" s="37" t="s">
        <v>675</v>
      </c>
      <c r="D96" s="46">
        <v>53.888599999999997</v>
      </c>
      <c r="E96" s="28">
        <v>0.1</v>
      </c>
      <c r="F96" s="32">
        <f t="shared" si="10"/>
        <v>59.277459999999998</v>
      </c>
      <c r="G96" s="29" t="s">
        <v>65</v>
      </c>
      <c r="H96" s="29"/>
      <c r="I96" s="29"/>
      <c r="J96" s="33"/>
      <c r="K96" s="34">
        <f t="shared" si="11"/>
        <v>0</v>
      </c>
      <c r="L96" s="35"/>
    </row>
    <row r="97" spans="1:12" s="37" customFormat="1" x14ac:dyDescent="0.25">
      <c r="A97" s="30">
        <f>IF(F97&lt;&gt;"",1+MAX($A$7:A96),"")</f>
        <v>81</v>
      </c>
      <c r="B97" s="31"/>
      <c r="C97" s="37" t="s">
        <v>373</v>
      </c>
      <c r="D97" s="46">
        <v>56</v>
      </c>
      <c r="E97" s="28">
        <v>0.1</v>
      </c>
      <c r="F97" s="32">
        <f t="shared" si="10"/>
        <v>61.600000000000009</v>
      </c>
      <c r="G97" s="29" t="s">
        <v>65</v>
      </c>
      <c r="H97" s="29"/>
      <c r="I97" s="29"/>
      <c r="J97" s="33"/>
      <c r="K97" s="34">
        <f t="shared" si="11"/>
        <v>0</v>
      </c>
      <c r="L97" s="35"/>
    </row>
    <row r="98" spans="1:12" s="37" customFormat="1" x14ac:dyDescent="0.25">
      <c r="A98" s="30">
        <f>IF(F98&lt;&gt;"",1+MAX($A$7:A97),"")</f>
        <v>82</v>
      </c>
      <c r="B98" s="31"/>
      <c r="C98" s="37" t="s">
        <v>862</v>
      </c>
      <c r="D98" s="46">
        <v>30</v>
      </c>
      <c r="E98" s="28">
        <v>0.1</v>
      </c>
      <c r="F98" s="32">
        <f t="shared" si="10"/>
        <v>33</v>
      </c>
      <c r="G98" s="29" t="s">
        <v>65</v>
      </c>
      <c r="H98" s="29"/>
      <c r="I98" s="29"/>
      <c r="J98" s="33"/>
      <c r="K98" s="34">
        <f t="shared" si="11"/>
        <v>0</v>
      </c>
      <c r="L98" s="35"/>
    </row>
    <row r="99" spans="1:12" s="37" customFormat="1" x14ac:dyDescent="0.25">
      <c r="A99" s="30">
        <f>IF(F99&lt;&gt;"",1+MAX($A$7:A98),"")</f>
        <v>83</v>
      </c>
      <c r="B99" s="31"/>
      <c r="C99" s="37" t="s">
        <v>676</v>
      </c>
      <c r="D99" s="46">
        <v>146.51519999999999</v>
      </c>
      <c r="E99" s="28">
        <v>0.1</v>
      </c>
      <c r="F99" s="32">
        <f t="shared" si="10"/>
        <v>161.16672</v>
      </c>
      <c r="G99" s="29" t="s">
        <v>65</v>
      </c>
      <c r="H99" s="29"/>
      <c r="I99" s="29"/>
      <c r="J99" s="33"/>
      <c r="K99" s="34">
        <f t="shared" si="11"/>
        <v>0</v>
      </c>
      <c r="L99" s="35"/>
    </row>
    <row r="100" spans="1:12" s="37" customFormat="1" x14ac:dyDescent="0.25">
      <c r="A100" s="30">
        <f>IF(F100&lt;&gt;"",1+MAX($A$7:A99),"")</f>
        <v>84</v>
      </c>
      <c r="B100" s="31"/>
      <c r="C100" s="37" t="s">
        <v>677</v>
      </c>
      <c r="D100" s="46">
        <v>22.816500000000001</v>
      </c>
      <c r="E100" s="28">
        <v>0.1</v>
      </c>
      <c r="F100" s="32">
        <f t="shared" si="10"/>
        <v>25.098150000000004</v>
      </c>
      <c r="G100" s="29" t="s">
        <v>65</v>
      </c>
      <c r="H100" s="29"/>
      <c r="I100" s="29"/>
      <c r="J100" s="33"/>
      <c r="K100" s="34">
        <f t="shared" si="11"/>
        <v>0</v>
      </c>
      <c r="L100" s="35"/>
    </row>
    <row r="101" spans="1:12" s="37" customFormat="1" x14ac:dyDescent="0.25">
      <c r="A101" s="30">
        <f>IF(F101&lt;&gt;"",1+MAX($A$7:A100),"")</f>
        <v>85</v>
      </c>
      <c r="B101" s="31"/>
      <c r="C101" s="37" t="s">
        <v>678</v>
      </c>
      <c r="D101" s="46">
        <v>78.634200000000007</v>
      </c>
      <c r="E101" s="28">
        <v>0.1</v>
      </c>
      <c r="F101" s="32">
        <f t="shared" si="10"/>
        <v>86.497620000000012</v>
      </c>
      <c r="G101" s="29" t="s">
        <v>65</v>
      </c>
      <c r="H101" s="29"/>
      <c r="I101" s="29"/>
      <c r="J101" s="33"/>
      <c r="K101" s="34">
        <f t="shared" si="11"/>
        <v>0</v>
      </c>
      <c r="L101" s="35"/>
    </row>
    <row r="102" spans="1:12" s="37" customFormat="1" x14ac:dyDescent="0.25">
      <c r="A102" s="30">
        <f>IF(F102&lt;&gt;"",1+MAX($A$7:A101),"")</f>
        <v>86</v>
      </c>
      <c r="B102" s="31"/>
      <c r="C102" s="37" t="s">
        <v>679</v>
      </c>
      <c r="D102" s="46">
        <v>14.376300000000001</v>
      </c>
      <c r="E102" s="28">
        <v>0.1</v>
      </c>
      <c r="F102" s="32">
        <f t="shared" si="10"/>
        <v>15.813930000000003</v>
      </c>
      <c r="G102" s="29" t="s">
        <v>65</v>
      </c>
      <c r="H102" s="29"/>
      <c r="I102" s="29"/>
      <c r="J102" s="33"/>
      <c r="K102" s="34">
        <f t="shared" si="11"/>
        <v>0</v>
      </c>
      <c r="L102" s="35"/>
    </row>
    <row r="103" spans="1:12" s="37" customFormat="1" x14ac:dyDescent="0.25">
      <c r="A103" s="30">
        <f>IF(F103&lt;&gt;"",1+MAX($A$7:A102),"")</f>
        <v>87</v>
      </c>
      <c r="B103" s="31"/>
      <c r="C103" s="37" t="s">
        <v>940</v>
      </c>
      <c r="D103" s="46">
        <v>472.73020000000002</v>
      </c>
      <c r="E103" s="28">
        <v>0.1</v>
      </c>
      <c r="F103" s="32">
        <f t="shared" si="10"/>
        <v>520.00322000000006</v>
      </c>
      <c r="G103" s="29" t="s">
        <v>65</v>
      </c>
      <c r="H103" s="29"/>
      <c r="I103" s="29"/>
      <c r="J103" s="33"/>
      <c r="K103" s="34">
        <f t="shared" si="11"/>
        <v>0</v>
      </c>
      <c r="L103" s="35"/>
    </row>
    <row r="104" spans="1:12" s="37" customFormat="1" x14ac:dyDescent="0.25">
      <c r="A104" s="30">
        <f>IF(F104&lt;&gt;"",1+MAX($A$7:A103),"")</f>
        <v>88</v>
      </c>
      <c r="B104" s="31"/>
      <c r="C104" s="37" t="s">
        <v>680</v>
      </c>
      <c r="D104" s="46">
        <v>2</v>
      </c>
      <c r="E104" s="28">
        <v>0</v>
      </c>
      <c r="F104" s="32">
        <f t="shared" ref="F104:F114" si="12">D104*(1+E104)</f>
        <v>2</v>
      </c>
      <c r="G104" s="29" t="s">
        <v>66</v>
      </c>
      <c r="H104" s="29"/>
      <c r="I104" s="29"/>
      <c r="J104" s="33"/>
      <c r="K104" s="34">
        <f t="shared" ref="K104:K114" si="13">J104*F104</f>
        <v>0</v>
      </c>
      <c r="L104" s="35"/>
    </row>
    <row r="105" spans="1:12" s="37" customFormat="1" x14ac:dyDescent="0.25">
      <c r="A105" s="30">
        <f>IF(F105&lt;&gt;"",1+MAX($A$7:A104),"")</f>
        <v>89</v>
      </c>
      <c r="B105" s="31"/>
      <c r="C105" s="37" t="s">
        <v>681</v>
      </c>
      <c r="D105" s="46">
        <v>2</v>
      </c>
      <c r="E105" s="28">
        <v>0</v>
      </c>
      <c r="F105" s="32">
        <f t="shared" si="12"/>
        <v>2</v>
      </c>
      <c r="G105" s="29" t="s">
        <v>66</v>
      </c>
      <c r="H105" s="29"/>
      <c r="I105" s="29"/>
      <c r="J105" s="33"/>
      <c r="K105" s="34">
        <f t="shared" si="13"/>
        <v>0</v>
      </c>
      <c r="L105" s="35"/>
    </row>
    <row r="106" spans="1:12" s="37" customFormat="1" x14ac:dyDescent="0.25">
      <c r="A106" s="30">
        <f>IF(F106&lt;&gt;"",1+MAX($A$7:A105),"")</f>
        <v>90</v>
      </c>
      <c r="B106" s="31"/>
      <c r="C106" s="37" t="s">
        <v>863</v>
      </c>
      <c r="D106" s="46">
        <v>7</v>
      </c>
      <c r="E106" s="28">
        <v>0</v>
      </c>
      <c r="F106" s="32">
        <f t="shared" si="12"/>
        <v>7</v>
      </c>
      <c r="G106" s="29" t="s">
        <v>66</v>
      </c>
      <c r="H106" s="29"/>
      <c r="I106" s="29"/>
      <c r="J106" s="33"/>
      <c r="K106" s="34">
        <f t="shared" si="13"/>
        <v>0</v>
      </c>
      <c r="L106" s="35"/>
    </row>
    <row r="107" spans="1:12" s="37" customFormat="1" x14ac:dyDescent="0.25">
      <c r="A107" s="30">
        <f>IF(F107&lt;&gt;"",1+MAX($A$7:A106),"")</f>
        <v>91</v>
      </c>
      <c r="B107" s="31"/>
      <c r="C107" s="37" t="s">
        <v>682</v>
      </c>
      <c r="D107" s="46">
        <v>7</v>
      </c>
      <c r="E107" s="28">
        <v>0</v>
      </c>
      <c r="F107" s="32">
        <f t="shared" si="12"/>
        <v>7</v>
      </c>
      <c r="G107" s="29" t="s">
        <v>66</v>
      </c>
      <c r="H107" s="29"/>
      <c r="I107" s="29"/>
      <c r="J107" s="33"/>
      <c r="K107" s="34">
        <f t="shared" si="13"/>
        <v>0</v>
      </c>
      <c r="L107" s="35"/>
    </row>
    <row r="108" spans="1:12" s="37" customFormat="1" x14ac:dyDescent="0.25">
      <c r="A108" s="30">
        <f>IF(F108&lt;&gt;"",1+MAX($A$7:A107),"")</f>
        <v>92</v>
      </c>
      <c r="B108" s="31"/>
      <c r="C108" s="37" t="s">
        <v>683</v>
      </c>
      <c r="D108" s="46">
        <v>1</v>
      </c>
      <c r="E108" s="28">
        <v>0</v>
      </c>
      <c r="F108" s="32">
        <f t="shared" si="12"/>
        <v>1</v>
      </c>
      <c r="G108" s="29" t="s">
        <v>66</v>
      </c>
      <c r="H108" s="29"/>
      <c r="I108" s="29"/>
      <c r="J108" s="33"/>
      <c r="K108" s="34">
        <f t="shared" si="13"/>
        <v>0</v>
      </c>
      <c r="L108" s="35"/>
    </row>
    <row r="109" spans="1:12" s="37" customFormat="1" x14ac:dyDescent="0.25">
      <c r="A109" s="30">
        <f>IF(F109&lt;&gt;"",1+MAX($A$7:A108),"")</f>
        <v>93</v>
      </c>
      <c r="B109" s="31"/>
      <c r="C109" s="37" t="s">
        <v>684</v>
      </c>
      <c r="D109" s="46">
        <v>7</v>
      </c>
      <c r="E109" s="28">
        <v>0</v>
      </c>
      <c r="F109" s="32">
        <f t="shared" si="12"/>
        <v>7</v>
      </c>
      <c r="G109" s="29" t="s">
        <v>66</v>
      </c>
      <c r="H109" s="29"/>
      <c r="I109" s="29"/>
      <c r="J109" s="33"/>
      <c r="K109" s="34">
        <f t="shared" si="13"/>
        <v>0</v>
      </c>
      <c r="L109" s="35"/>
    </row>
    <row r="110" spans="1:12" s="37" customFormat="1" x14ac:dyDescent="0.25">
      <c r="A110" s="30">
        <f>IF(F110&lt;&gt;"",1+MAX($A$7:A109),"")</f>
        <v>94</v>
      </c>
      <c r="B110" s="31"/>
      <c r="C110" s="37" t="s">
        <v>685</v>
      </c>
      <c r="D110" s="46">
        <v>4</v>
      </c>
      <c r="E110" s="28">
        <v>0</v>
      </c>
      <c r="F110" s="32">
        <f t="shared" si="12"/>
        <v>4</v>
      </c>
      <c r="G110" s="29" t="s">
        <v>66</v>
      </c>
      <c r="H110" s="29"/>
      <c r="I110" s="29"/>
      <c r="J110" s="33"/>
      <c r="K110" s="34">
        <f t="shared" si="13"/>
        <v>0</v>
      </c>
      <c r="L110" s="35"/>
    </row>
    <row r="111" spans="1:12" s="37" customFormat="1" x14ac:dyDescent="0.25">
      <c r="A111" s="30">
        <f>IF(F111&lt;&gt;"",1+MAX($A$7:A110),"")</f>
        <v>95</v>
      </c>
      <c r="B111" s="31"/>
      <c r="C111" s="37" t="s">
        <v>686</v>
      </c>
      <c r="D111" s="46">
        <v>15</v>
      </c>
      <c r="E111" s="28">
        <v>0</v>
      </c>
      <c r="F111" s="32">
        <f t="shared" si="12"/>
        <v>15</v>
      </c>
      <c r="G111" s="29" t="s">
        <v>66</v>
      </c>
      <c r="H111" s="29"/>
      <c r="I111" s="29"/>
      <c r="J111" s="33"/>
      <c r="K111" s="34">
        <f t="shared" si="13"/>
        <v>0</v>
      </c>
      <c r="L111" s="35"/>
    </row>
    <row r="112" spans="1:12" s="37" customFormat="1" x14ac:dyDescent="0.25">
      <c r="A112" s="30">
        <f>IF(F112&lt;&gt;"",1+MAX($A$7:A111),"")</f>
        <v>96</v>
      </c>
      <c r="B112" s="31"/>
      <c r="C112" s="37" t="s">
        <v>864</v>
      </c>
      <c r="D112" s="46">
        <v>17</v>
      </c>
      <c r="E112" s="28">
        <v>0</v>
      </c>
      <c r="F112" s="32">
        <f t="shared" si="12"/>
        <v>17</v>
      </c>
      <c r="G112" s="29" t="s">
        <v>66</v>
      </c>
      <c r="H112" s="29"/>
      <c r="I112" s="29"/>
      <c r="J112" s="33"/>
      <c r="K112" s="34">
        <f t="shared" si="13"/>
        <v>0</v>
      </c>
      <c r="L112" s="35"/>
    </row>
    <row r="113" spans="1:12" s="37" customFormat="1" x14ac:dyDescent="0.25">
      <c r="A113" s="30">
        <f>IF(F113&lt;&gt;"",1+MAX($A$7:A112),"")</f>
        <v>97</v>
      </c>
      <c r="B113" s="31"/>
      <c r="C113" s="37" t="s">
        <v>687</v>
      </c>
      <c r="D113" s="46">
        <v>2</v>
      </c>
      <c r="E113" s="28">
        <v>0</v>
      </c>
      <c r="F113" s="32">
        <f t="shared" si="12"/>
        <v>2</v>
      </c>
      <c r="G113" s="29" t="s">
        <v>66</v>
      </c>
      <c r="H113" s="29"/>
      <c r="I113" s="29"/>
      <c r="J113" s="33"/>
      <c r="K113" s="34">
        <f t="shared" si="13"/>
        <v>0</v>
      </c>
      <c r="L113" s="35"/>
    </row>
    <row r="114" spans="1:12" s="37" customFormat="1" x14ac:dyDescent="0.25">
      <c r="A114" s="30">
        <f>IF(F114&lt;&gt;"",1+MAX($A$7:A113),"")</f>
        <v>98</v>
      </c>
      <c r="B114" s="31"/>
      <c r="C114" s="37" t="s">
        <v>688</v>
      </c>
      <c r="D114" s="46">
        <v>1</v>
      </c>
      <c r="E114" s="28">
        <v>0</v>
      </c>
      <c r="F114" s="32">
        <f t="shared" si="12"/>
        <v>1</v>
      </c>
      <c r="G114" s="29" t="s">
        <v>66</v>
      </c>
      <c r="H114" s="29"/>
      <c r="I114" s="29"/>
      <c r="J114" s="33"/>
      <c r="K114" s="34">
        <f t="shared" si="13"/>
        <v>0</v>
      </c>
      <c r="L114" s="35"/>
    </row>
    <row r="115" spans="1:12" s="37" customFormat="1" x14ac:dyDescent="0.25">
      <c r="A115" s="30" t="str">
        <f>IF(F115&lt;&gt;"",1+MAX($A$7:A114),"")</f>
        <v/>
      </c>
      <c r="B115" s="31"/>
      <c r="D115" s="46"/>
      <c r="E115" s="28"/>
      <c r="F115" s="32"/>
      <c r="G115" s="29"/>
      <c r="H115" s="29"/>
      <c r="I115" s="29"/>
      <c r="J115" s="33"/>
      <c r="K115" s="34"/>
      <c r="L115" s="35"/>
    </row>
    <row r="116" spans="1:12" s="37" customFormat="1" x14ac:dyDescent="0.25">
      <c r="A116" s="30" t="str">
        <f>IF(F116&lt;&gt;"",1+MAX($A$7:A115),"")</f>
        <v/>
      </c>
      <c r="B116" s="31"/>
      <c r="C116" s="98" t="s">
        <v>440</v>
      </c>
      <c r="D116" s="46"/>
      <c r="E116" s="28"/>
      <c r="F116" s="32"/>
      <c r="G116" s="29"/>
      <c r="H116" s="29"/>
      <c r="I116" s="29"/>
      <c r="J116" s="33"/>
      <c r="K116" s="34"/>
      <c r="L116" s="35"/>
    </row>
    <row r="117" spans="1:12" s="37" customFormat="1" x14ac:dyDescent="0.25">
      <c r="A117" s="30">
        <f>IF(F117&lt;&gt;"",1+MAX($A$7:A116),"")</f>
        <v>99</v>
      </c>
      <c r="B117" s="31"/>
      <c r="C117" s="37" t="s">
        <v>381</v>
      </c>
      <c r="D117" s="46">
        <f>113+23+126+70+80+14+12+10+5+5+53</f>
        <v>511</v>
      </c>
      <c r="E117" s="28">
        <v>0.1</v>
      </c>
      <c r="F117" s="32">
        <f t="shared" ref="F117:F126" si="14">D117*(1+E117)</f>
        <v>562.1</v>
      </c>
      <c r="G117" s="29" t="s">
        <v>65</v>
      </c>
      <c r="H117" s="29"/>
      <c r="I117" s="29"/>
      <c r="J117" s="33"/>
      <c r="K117" s="34">
        <f t="shared" ref="K117:K126" si="15">J117*F117</f>
        <v>0</v>
      </c>
      <c r="L117" s="35"/>
    </row>
    <row r="118" spans="1:12" s="37" customFormat="1" x14ac:dyDescent="0.25">
      <c r="A118" s="30">
        <f>IF(F118&lt;&gt;"",1+MAX($A$7:A117),"")</f>
        <v>100</v>
      </c>
      <c r="B118" s="31"/>
      <c r="C118" s="37" t="s">
        <v>382</v>
      </c>
      <c r="D118" s="46">
        <f>212+15+70+93+70+16</f>
        <v>476</v>
      </c>
      <c r="E118" s="28">
        <v>0.1</v>
      </c>
      <c r="F118" s="32">
        <f t="shared" si="14"/>
        <v>523.6</v>
      </c>
      <c r="G118" s="29" t="s">
        <v>65</v>
      </c>
      <c r="H118" s="29"/>
      <c r="I118" s="29"/>
      <c r="J118" s="33"/>
      <c r="K118" s="34">
        <f t="shared" si="15"/>
        <v>0</v>
      </c>
      <c r="L118" s="35"/>
    </row>
    <row r="119" spans="1:12" s="37" customFormat="1" x14ac:dyDescent="0.25">
      <c r="A119" s="30">
        <f>IF(F119&lt;&gt;"",1+MAX($A$7:A118),"")</f>
        <v>101</v>
      </c>
      <c r="B119" s="31"/>
      <c r="C119" s="37" t="s">
        <v>383</v>
      </c>
      <c r="D119" s="46">
        <f>86+32</f>
        <v>118</v>
      </c>
      <c r="E119" s="28">
        <v>0.1</v>
      </c>
      <c r="F119" s="32">
        <f t="shared" si="14"/>
        <v>129.80000000000001</v>
      </c>
      <c r="G119" s="29" t="s">
        <v>65</v>
      </c>
      <c r="H119" s="29"/>
      <c r="I119" s="29"/>
      <c r="J119" s="33"/>
      <c r="K119" s="34">
        <f t="shared" si="15"/>
        <v>0</v>
      </c>
      <c r="L119" s="35"/>
    </row>
    <row r="120" spans="1:12" s="37" customFormat="1" x14ac:dyDescent="0.25">
      <c r="A120" s="30">
        <f>IF(F120&lt;&gt;"",1+MAX($A$7:A119),"")</f>
        <v>102</v>
      </c>
      <c r="B120" s="31"/>
      <c r="C120" s="37" t="s">
        <v>380</v>
      </c>
      <c r="D120" s="46">
        <v>5</v>
      </c>
      <c r="E120" s="28">
        <v>0.1</v>
      </c>
      <c r="F120" s="32">
        <f t="shared" si="14"/>
        <v>5.5</v>
      </c>
      <c r="G120" s="29" t="s">
        <v>65</v>
      </c>
      <c r="H120" s="29"/>
      <c r="I120" s="29"/>
      <c r="J120" s="33"/>
      <c r="K120" s="34">
        <f t="shared" si="15"/>
        <v>0</v>
      </c>
      <c r="L120" s="35"/>
    </row>
    <row r="121" spans="1:12" s="37" customFormat="1" x14ac:dyDescent="0.25">
      <c r="A121" s="30">
        <f>IF(F121&lt;&gt;"",1+MAX($A$7:A120),"")</f>
        <v>103</v>
      </c>
      <c r="B121" s="31"/>
      <c r="C121" s="37" t="s">
        <v>386</v>
      </c>
      <c r="D121" s="46">
        <f>43+55+50</f>
        <v>148</v>
      </c>
      <c r="E121" s="28">
        <v>0.1</v>
      </c>
      <c r="F121" s="32">
        <f t="shared" si="14"/>
        <v>162.80000000000001</v>
      </c>
      <c r="G121" s="29" t="s">
        <v>65</v>
      </c>
      <c r="H121" s="29"/>
      <c r="I121" s="29"/>
      <c r="J121" s="33"/>
      <c r="K121" s="34">
        <f t="shared" si="15"/>
        <v>0</v>
      </c>
      <c r="L121" s="35"/>
    </row>
    <row r="122" spans="1:12" s="37" customFormat="1" x14ac:dyDescent="0.25">
      <c r="A122" s="30">
        <f>IF(F122&lt;&gt;"",1+MAX($A$7:A121),"")</f>
        <v>104</v>
      </c>
      <c r="B122" s="31"/>
      <c r="C122" s="37" t="s">
        <v>387</v>
      </c>
      <c r="D122" s="46">
        <f>30+5+20+95+25+55+24</f>
        <v>254</v>
      </c>
      <c r="E122" s="28">
        <v>0.1</v>
      </c>
      <c r="F122" s="32">
        <f t="shared" si="14"/>
        <v>279.40000000000003</v>
      </c>
      <c r="G122" s="29" t="s">
        <v>65</v>
      </c>
      <c r="H122" s="29"/>
      <c r="I122" s="29"/>
      <c r="J122" s="33"/>
      <c r="K122" s="34">
        <f t="shared" si="15"/>
        <v>0</v>
      </c>
      <c r="L122" s="35"/>
    </row>
    <row r="123" spans="1:12" s="37" customFormat="1" x14ac:dyDescent="0.25">
      <c r="A123" s="30">
        <f>IF(F123&lt;&gt;"",1+MAX($A$7:A122),"")</f>
        <v>105</v>
      </c>
      <c r="B123" s="31"/>
      <c r="C123" s="37" t="s">
        <v>388</v>
      </c>
      <c r="D123" s="46">
        <f>10+35+35+5+5+5+105+15+30+20+20+20+17+35+5+55+45+22+5</f>
        <v>489</v>
      </c>
      <c r="E123" s="28">
        <v>0.1</v>
      </c>
      <c r="F123" s="32">
        <f t="shared" si="14"/>
        <v>537.90000000000009</v>
      </c>
      <c r="G123" s="29" t="s">
        <v>65</v>
      </c>
      <c r="H123" s="29"/>
      <c r="I123" s="29"/>
      <c r="J123" s="33"/>
      <c r="K123" s="34">
        <f t="shared" si="15"/>
        <v>0</v>
      </c>
      <c r="L123" s="35"/>
    </row>
    <row r="124" spans="1:12" s="37" customFormat="1" x14ac:dyDescent="0.25">
      <c r="A124" s="30">
        <f>IF(F124&lt;&gt;"",1+MAX($A$7:A123),"")</f>
        <v>106</v>
      </c>
      <c r="B124" s="31"/>
      <c r="C124" s="37" t="s">
        <v>389</v>
      </c>
      <c r="D124" s="46">
        <f>20+27+22+30+110+45</f>
        <v>254</v>
      </c>
      <c r="E124" s="28">
        <v>0.1</v>
      </c>
      <c r="F124" s="32">
        <f t="shared" si="14"/>
        <v>279.40000000000003</v>
      </c>
      <c r="G124" s="29" t="s">
        <v>65</v>
      </c>
      <c r="H124" s="29"/>
      <c r="I124" s="29"/>
      <c r="J124" s="33"/>
      <c r="K124" s="34">
        <f t="shared" si="15"/>
        <v>0</v>
      </c>
      <c r="L124" s="35"/>
    </row>
    <row r="125" spans="1:12" s="37" customFormat="1" x14ac:dyDescent="0.25">
      <c r="A125" s="30">
        <f>IF(F125&lt;&gt;"",1+MAX($A$7:A124),"")</f>
        <v>107</v>
      </c>
      <c r="B125" s="31"/>
      <c r="C125" s="37" t="s">
        <v>384</v>
      </c>
      <c r="D125" s="46">
        <v>2</v>
      </c>
      <c r="E125" s="28">
        <v>0.1</v>
      </c>
      <c r="F125" s="32">
        <f t="shared" si="14"/>
        <v>2.2000000000000002</v>
      </c>
      <c r="G125" s="29" t="s">
        <v>65</v>
      </c>
      <c r="H125" s="29"/>
      <c r="I125" s="29"/>
      <c r="J125" s="33"/>
      <c r="K125" s="34">
        <f t="shared" si="15"/>
        <v>0</v>
      </c>
      <c r="L125" s="35"/>
    </row>
    <row r="126" spans="1:12" s="37" customFormat="1" x14ac:dyDescent="0.25">
      <c r="A126" s="30">
        <f>IF(F126&lt;&gt;"",1+MAX($A$7:A125),"")</f>
        <v>108</v>
      </c>
      <c r="B126" s="31"/>
      <c r="C126" s="37" t="s">
        <v>385</v>
      </c>
      <c r="D126" s="46">
        <v>10</v>
      </c>
      <c r="E126" s="28">
        <v>0.1</v>
      </c>
      <c r="F126" s="32">
        <f t="shared" si="14"/>
        <v>11</v>
      </c>
      <c r="G126" s="29" t="s">
        <v>65</v>
      </c>
      <c r="H126" s="29"/>
      <c r="I126" s="29"/>
      <c r="J126" s="33"/>
      <c r="K126" s="34">
        <f t="shared" si="15"/>
        <v>0</v>
      </c>
      <c r="L126" s="35"/>
    </row>
    <row r="127" spans="1:12" s="37" customFormat="1" x14ac:dyDescent="0.25">
      <c r="A127" s="30" t="str">
        <f>IF(F127&lt;&gt;"",1+MAX($A$7:A126),"")</f>
        <v/>
      </c>
      <c r="B127" s="31"/>
      <c r="D127" s="46"/>
      <c r="E127" s="28"/>
      <c r="F127" s="32"/>
      <c r="G127" s="29"/>
      <c r="H127" s="29"/>
      <c r="I127" s="29"/>
      <c r="J127" s="33"/>
      <c r="K127" s="34"/>
      <c r="L127" s="35"/>
    </row>
    <row r="128" spans="1:12" s="37" customFormat="1" x14ac:dyDescent="0.25">
      <c r="A128" s="30" t="str">
        <f>IF(F128&lt;&gt;"",1+MAX($A$7:A127),"")</f>
        <v/>
      </c>
      <c r="B128" s="31"/>
      <c r="C128" s="98" t="s">
        <v>390</v>
      </c>
      <c r="D128" s="46"/>
      <c r="E128" s="28"/>
      <c r="F128" s="32"/>
      <c r="G128" s="29"/>
      <c r="H128" s="29"/>
      <c r="I128" s="29"/>
      <c r="J128" s="33"/>
      <c r="K128" s="34"/>
      <c r="L128" s="35"/>
    </row>
    <row r="129" spans="1:12" s="37" customFormat="1" x14ac:dyDescent="0.25">
      <c r="A129" s="30">
        <f>IF(F129&lt;&gt;"",1+MAX($A$7:A128),"")</f>
        <v>109</v>
      </c>
      <c r="B129" s="31"/>
      <c r="C129" s="37" t="s">
        <v>393</v>
      </c>
      <c r="D129" s="46">
        <v>11</v>
      </c>
      <c r="E129" s="28">
        <v>0</v>
      </c>
      <c r="F129" s="32">
        <f t="shared" ref="F129" si="16">D129*(1+E129)</f>
        <v>11</v>
      </c>
      <c r="G129" s="29" t="s">
        <v>66</v>
      </c>
      <c r="H129" s="29"/>
      <c r="I129" s="29"/>
      <c r="J129" s="33"/>
      <c r="K129" s="34">
        <f t="shared" ref="K129" si="17">J129*F129</f>
        <v>0</v>
      </c>
      <c r="L129" s="35"/>
    </row>
    <row r="130" spans="1:12" s="37" customFormat="1" x14ac:dyDescent="0.25">
      <c r="A130" s="30">
        <f>IF(F130&lt;&gt;"",1+MAX($A$7:A129),"")</f>
        <v>110</v>
      </c>
      <c r="B130" s="31"/>
      <c r="C130" s="37" t="s">
        <v>394</v>
      </c>
      <c r="D130" s="46">
        <v>6</v>
      </c>
      <c r="E130" s="28">
        <v>0</v>
      </c>
      <c r="F130" s="32">
        <f t="shared" ref="F130:F132" si="18">D130*(1+E130)</f>
        <v>6</v>
      </c>
      <c r="G130" s="29" t="s">
        <v>66</v>
      </c>
      <c r="H130" s="29"/>
      <c r="I130" s="29"/>
      <c r="J130" s="33"/>
      <c r="K130" s="34">
        <f t="shared" ref="K130:K132" si="19">J130*F130</f>
        <v>0</v>
      </c>
      <c r="L130" s="35"/>
    </row>
    <row r="131" spans="1:12" s="37" customFormat="1" x14ac:dyDescent="0.25">
      <c r="A131" s="30">
        <f>IF(F131&lt;&gt;"",1+MAX($A$7:A130),"")</f>
        <v>111</v>
      </c>
      <c r="B131" s="31"/>
      <c r="C131" s="37" t="s">
        <v>391</v>
      </c>
      <c r="D131" s="46">
        <v>2</v>
      </c>
      <c r="E131" s="28">
        <v>0</v>
      </c>
      <c r="F131" s="32">
        <f t="shared" si="18"/>
        <v>2</v>
      </c>
      <c r="G131" s="29" t="s">
        <v>66</v>
      </c>
      <c r="H131" s="29"/>
      <c r="I131" s="29"/>
      <c r="J131" s="33"/>
      <c r="K131" s="34">
        <f t="shared" si="19"/>
        <v>0</v>
      </c>
      <c r="L131" s="35"/>
    </row>
    <row r="132" spans="1:12" s="37" customFormat="1" x14ac:dyDescent="0.25">
      <c r="A132" s="30">
        <f>IF(F132&lt;&gt;"",1+MAX($A$7:A131),"")</f>
        <v>112</v>
      </c>
      <c r="B132" s="31"/>
      <c r="C132" s="37" t="s">
        <v>392</v>
      </c>
      <c r="D132" s="46">
        <v>42</v>
      </c>
      <c r="E132" s="28">
        <v>0</v>
      </c>
      <c r="F132" s="32">
        <f t="shared" si="18"/>
        <v>42</v>
      </c>
      <c r="G132" s="29" t="s">
        <v>66</v>
      </c>
      <c r="H132" s="29"/>
      <c r="I132" s="29"/>
      <c r="J132" s="33"/>
      <c r="K132" s="34">
        <f t="shared" si="19"/>
        <v>0</v>
      </c>
      <c r="L132" s="35"/>
    </row>
    <row r="133" spans="1:12" s="37" customFormat="1" x14ac:dyDescent="0.25">
      <c r="A133" s="30" t="str">
        <f>IF(F133&lt;&gt;"",1+MAX($A$7:A132),"")</f>
        <v/>
      </c>
      <c r="B133" s="31"/>
      <c r="D133" s="46"/>
      <c r="E133" s="28"/>
      <c r="F133" s="32"/>
      <c r="G133" s="29"/>
      <c r="H133" s="29"/>
      <c r="I133" s="29"/>
      <c r="J133" s="33"/>
      <c r="K133" s="34"/>
      <c r="L133" s="35"/>
    </row>
    <row r="134" spans="1:12" s="37" customFormat="1" x14ac:dyDescent="0.25">
      <c r="A134" s="30" t="str">
        <f>IF(F134&lt;&gt;"",1+MAX($A$7:A133),"")</f>
        <v/>
      </c>
      <c r="B134" s="31"/>
      <c r="C134" s="98" t="s">
        <v>395</v>
      </c>
      <c r="D134" s="46"/>
      <c r="E134" s="28"/>
      <c r="F134" s="32"/>
      <c r="G134" s="29"/>
      <c r="H134" s="29"/>
      <c r="I134" s="29"/>
      <c r="J134" s="33"/>
      <c r="K134" s="34"/>
      <c r="L134" s="35"/>
    </row>
    <row r="135" spans="1:12" s="37" customFormat="1" x14ac:dyDescent="0.25">
      <c r="A135" s="30">
        <f>IF(F135&lt;&gt;"",1+MAX($A$7:A134),"")</f>
        <v>113</v>
      </c>
      <c r="B135" s="31"/>
      <c r="C135" s="37" t="s">
        <v>689</v>
      </c>
      <c r="D135" s="46">
        <v>180.88</v>
      </c>
      <c r="E135" s="28">
        <v>0.1</v>
      </c>
      <c r="F135" s="32">
        <f t="shared" ref="F135" si="20">D135*(1+E135)</f>
        <v>198.96800000000002</v>
      </c>
      <c r="G135" s="29" t="s">
        <v>275</v>
      </c>
      <c r="H135" s="29"/>
      <c r="I135" s="29"/>
      <c r="J135" s="33"/>
      <c r="K135" s="34">
        <f t="shared" ref="K135" si="21">J135*F135</f>
        <v>0</v>
      </c>
      <c r="L135" s="35"/>
    </row>
    <row r="136" spans="1:12" s="37" customFormat="1" x14ac:dyDescent="0.25">
      <c r="A136" s="30">
        <f>IF(F136&lt;&gt;"",1+MAX($A$7:A135),"")</f>
        <v>114</v>
      </c>
      <c r="B136" s="31"/>
      <c r="C136" s="37" t="s">
        <v>690</v>
      </c>
      <c r="D136" s="46">
        <v>10693.25</v>
      </c>
      <c r="E136" s="28">
        <v>0.1</v>
      </c>
      <c r="F136" s="32">
        <f t="shared" ref="F136:F145" si="22">D136*(1+E136)</f>
        <v>11762.575000000001</v>
      </c>
      <c r="G136" s="29" t="s">
        <v>275</v>
      </c>
      <c r="H136" s="29"/>
      <c r="I136" s="29"/>
      <c r="J136" s="33"/>
      <c r="K136" s="34">
        <f t="shared" ref="K136:K145" si="23">J136*F136</f>
        <v>0</v>
      </c>
      <c r="L136" s="35"/>
    </row>
    <row r="137" spans="1:12" s="37" customFormat="1" x14ac:dyDescent="0.25">
      <c r="A137" s="30">
        <f>IF(F137&lt;&gt;"",1+MAX($A$7:A136),"")</f>
        <v>115</v>
      </c>
      <c r="B137" s="31"/>
      <c r="C137" s="37" t="s">
        <v>977</v>
      </c>
      <c r="D137" s="46">
        <v>8749.25</v>
      </c>
      <c r="E137" s="28">
        <v>0.1</v>
      </c>
      <c r="F137" s="32">
        <f t="shared" si="22"/>
        <v>9624.1750000000011</v>
      </c>
      <c r="G137" s="29" t="s">
        <v>275</v>
      </c>
      <c r="H137" s="29"/>
      <c r="I137" s="29"/>
      <c r="J137" s="33"/>
      <c r="K137" s="34">
        <f t="shared" si="23"/>
        <v>0</v>
      </c>
      <c r="L137" s="35"/>
    </row>
    <row r="138" spans="1:12" s="37" customFormat="1" x14ac:dyDescent="0.25">
      <c r="A138" s="30">
        <f>IF(F138&lt;&gt;"",1+MAX($A$7:A137),"")</f>
        <v>116</v>
      </c>
      <c r="B138" s="31"/>
      <c r="C138" s="37" t="s">
        <v>396</v>
      </c>
      <c r="D138" s="46">
        <v>1000</v>
      </c>
      <c r="E138" s="28">
        <v>0.1</v>
      </c>
      <c r="F138" s="32">
        <f t="shared" si="22"/>
        <v>1100</v>
      </c>
      <c r="G138" s="29" t="s">
        <v>275</v>
      </c>
      <c r="H138" s="29"/>
      <c r="I138" s="29"/>
      <c r="J138" s="33"/>
      <c r="K138" s="34">
        <f t="shared" si="23"/>
        <v>0</v>
      </c>
      <c r="L138" s="35"/>
    </row>
    <row r="139" spans="1:12" s="37" customFormat="1" x14ac:dyDescent="0.25">
      <c r="A139" s="30">
        <f>IF(F139&lt;&gt;"",1+MAX($A$7:A138),"")</f>
        <v>117</v>
      </c>
      <c r="B139" s="31"/>
      <c r="C139" s="37" t="s">
        <v>1006</v>
      </c>
      <c r="D139" s="46">
        <v>818.25099999999998</v>
      </c>
      <c r="E139" s="28">
        <v>0.1</v>
      </c>
      <c r="F139" s="32">
        <f t="shared" si="22"/>
        <v>900.0761</v>
      </c>
      <c r="G139" s="29" t="s">
        <v>65</v>
      </c>
      <c r="H139" s="29"/>
      <c r="I139" s="29"/>
      <c r="J139" s="33"/>
      <c r="K139" s="34">
        <f t="shared" si="23"/>
        <v>0</v>
      </c>
      <c r="L139" s="35"/>
    </row>
    <row r="140" spans="1:12" s="37" customFormat="1" x14ac:dyDescent="0.25">
      <c r="A140" s="30">
        <f>IF(F140&lt;&gt;"",1+MAX($A$7:A139),"")</f>
        <v>118</v>
      </c>
      <c r="B140" s="31"/>
      <c r="C140" s="37" t="s">
        <v>691</v>
      </c>
      <c r="D140" s="46">
        <v>553.45320000000004</v>
      </c>
      <c r="E140" s="28">
        <v>0.1</v>
      </c>
      <c r="F140" s="32">
        <f t="shared" si="22"/>
        <v>608.79852000000005</v>
      </c>
      <c r="G140" s="29" t="s">
        <v>65</v>
      </c>
      <c r="H140" s="29"/>
      <c r="I140" s="29"/>
      <c r="J140" s="33"/>
      <c r="K140" s="34">
        <f t="shared" si="23"/>
        <v>0</v>
      </c>
      <c r="L140" s="35"/>
    </row>
    <row r="141" spans="1:12" s="37" customFormat="1" x14ac:dyDescent="0.25">
      <c r="A141" s="30">
        <f>IF(F141&lt;&gt;"",1+MAX($A$7:A140),"")</f>
        <v>119</v>
      </c>
      <c r="B141" s="31"/>
      <c r="C141" s="37" t="s">
        <v>1007</v>
      </c>
      <c r="D141" s="46">
        <f>983+4254.856</f>
        <v>5237.8559999999998</v>
      </c>
      <c r="E141" s="28">
        <v>0.1</v>
      </c>
      <c r="F141" s="32">
        <f t="shared" si="22"/>
        <v>5761.6415999999999</v>
      </c>
      <c r="G141" s="29" t="s">
        <v>65</v>
      </c>
      <c r="H141" s="29"/>
      <c r="I141" s="29"/>
      <c r="J141" s="33"/>
      <c r="K141" s="34">
        <f t="shared" si="23"/>
        <v>0</v>
      </c>
      <c r="L141" s="35"/>
    </row>
    <row r="142" spans="1:12" s="37" customFormat="1" x14ac:dyDescent="0.25">
      <c r="A142" s="30">
        <f>IF(F142&lt;&gt;"",1+MAX($A$7:A141),"")</f>
        <v>120</v>
      </c>
      <c r="B142" s="31"/>
      <c r="C142" s="37" t="s">
        <v>692</v>
      </c>
      <c r="D142" s="46">
        <v>407.23509999999999</v>
      </c>
      <c r="E142" s="28">
        <v>0.1</v>
      </c>
      <c r="F142" s="32">
        <f t="shared" si="22"/>
        <v>447.95861000000002</v>
      </c>
      <c r="G142" s="29" t="s">
        <v>65</v>
      </c>
      <c r="H142" s="29"/>
      <c r="I142" s="29"/>
      <c r="J142" s="33"/>
      <c r="K142" s="34">
        <f t="shared" si="23"/>
        <v>0</v>
      </c>
      <c r="L142" s="35"/>
    </row>
    <row r="143" spans="1:12" s="37" customFormat="1" x14ac:dyDescent="0.25">
      <c r="A143" s="30">
        <f>IF(F143&lt;&gt;"",1+MAX($A$7:A142),"")</f>
        <v>121</v>
      </c>
      <c r="B143" s="31"/>
      <c r="C143" s="37" t="s">
        <v>397</v>
      </c>
      <c r="D143" s="46">
        <v>451</v>
      </c>
      <c r="E143" s="28">
        <v>0.1</v>
      </c>
      <c r="F143" s="32">
        <f t="shared" si="22"/>
        <v>496.1</v>
      </c>
      <c r="G143" s="29" t="s">
        <v>65</v>
      </c>
      <c r="H143" s="29"/>
      <c r="I143" s="29"/>
      <c r="J143" s="33"/>
      <c r="K143" s="34">
        <f t="shared" si="23"/>
        <v>0</v>
      </c>
      <c r="L143" s="35"/>
    </row>
    <row r="144" spans="1:12" s="37" customFormat="1" x14ac:dyDescent="0.25">
      <c r="A144" s="30">
        <f>IF(F144&lt;&gt;"",1+MAX($A$7:A143),"")</f>
        <v>122</v>
      </c>
      <c r="B144" s="31"/>
      <c r="C144" s="37" t="s">
        <v>693</v>
      </c>
      <c r="D144" s="46">
        <v>42</v>
      </c>
      <c r="E144" s="28">
        <v>0.1</v>
      </c>
      <c r="F144" s="32">
        <f t="shared" si="22"/>
        <v>46.2</v>
      </c>
      <c r="G144" s="29" t="s">
        <v>65</v>
      </c>
      <c r="H144" s="29"/>
      <c r="I144" s="29"/>
      <c r="J144" s="33"/>
      <c r="K144" s="34">
        <f t="shared" si="23"/>
        <v>0</v>
      </c>
      <c r="L144" s="35"/>
    </row>
    <row r="145" spans="1:12" s="37" customFormat="1" x14ac:dyDescent="0.25">
      <c r="A145" s="30">
        <f>IF(F145&lt;&gt;"",1+MAX($A$7:A144),"")</f>
        <v>123</v>
      </c>
      <c r="B145" s="31"/>
      <c r="C145" s="37" t="s">
        <v>694</v>
      </c>
      <c r="D145" s="46">
        <v>1</v>
      </c>
      <c r="E145" s="28">
        <v>0</v>
      </c>
      <c r="F145" s="32">
        <f t="shared" si="22"/>
        <v>1</v>
      </c>
      <c r="G145" s="29" t="s">
        <v>66</v>
      </c>
      <c r="H145" s="29"/>
      <c r="I145" s="29"/>
      <c r="J145" s="33"/>
      <c r="K145" s="34">
        <f t="shared" si="23"/>
        <v>0</v>
      </c>
      <c r="L145" s="35"/>
    </row>
    <row r="146" spans="1:12" s="37" customFormat="1" x14ac:dyDescent="0.25">
      <c r="A146" s="30">
        <f>IF(F146&lt;&gt;"",1+MAX($A$7:A145),"")</f>
        <v>124</v>
      </c>
      <c r="B146" s="31"/>
      <c r="C146" s="37" t="s">
        <v>695</v>
      </c>
      <c r="D146" s="46">
        <v>1</v>
      </c>
      <c r="E146" s="28">
        <v>0</v>
      </c>
      <c r="F146" s="32">
        <f t="shared" ref="F146" si="24">D146*(1+E146)</f>
        <v>1</v>
      </c>
      <c r="G146" s="29" t="s">
        <v>66</v>
      </c>
      <c r="H146" s="29"/>
      <c r="I146" s="29"/>
      <c r="J146" s="33"/>
      <c r="K146" s="34">
        <f t="shared" ref="K146" si="25">J146*F146</f>
        <v>0</v>
      </c>
      <c r="L146" s="35"/>
    </row>
    <row r="147" spans="1:12" s="37" customFormat="1" x14ac:dyDescent="0.25">
      <c r="A147" s="30" t="str">
        <f>IF(F147&lt;&gt;"",1+MAX($A$7:A146),"")</f>
        <v/>
      </c>
      <c r="B147" s="31"/>
      <c r="D147" s="46"/>
      <c r="E147" s="28"/>
      <c r="F147" s="32"/>
      <c r="G147" s="29"/>
      <c r="H147" s="29"/>
      <c r="I147" s="29"/>
      <c r="J147" s="33"/>
      <c r="K147" s="34"/>
      <c r="L147" s="35"/>
    </row>
    <row r="148" spans="1:12" s="37" customFormat="1" x14ac:dyDescent="0.25">
      <c r="A148" s="30" t="str">
        <f>IF(F148&lt;&gt;"",1+MAX($A$7:A147),"")</f>
        <v/>
      </c>
      <c r="B148" s="31"/>
      <c r="C148" s="98" t="s">
        <v>439</v>
      </c>
      <c r="D148" s="46"/>
      <c r="E148" s="28"/>
      <c r="F148" s="32"/>
      <c r="G148" s="29"/>
      <c r="H148" s="29"/>
      <c r="I148" s="29"/>
      <c r="J148" s="33"/>
      <c r="K148" s="34"/>
      <c r="L148" s="35"/>
    </row>
    <row r="149" spans="1:12" s="37" customFormat="1" x14ac:dyDescent="0.25">
      <c r="A149" s="30">
        <f>IF(F149&lt;&gt;"",1+MAX($A$7:A148),"")</f>
        <v>125</v>
      </c>
      <c r="B149" s="31"/>
      <c r="C149" s="37" t="s">
        <v>696</v>
      </c>
      <c r="D149" s="46">
        <v>13285.81</v>
      </c>
      <c r="E149" s="28">
        <v>0.1</v>
      </c>
      <c r="F149" s="32">
        <f t="shared" ref="F149:F150" si="26">D149*(1+E149)</f>
        <v>14614.391000000001</v>
      </c>
      <c r="G149" s="29" t="s">
        <v>275</v>
      </c>
      <c r="H149" s="29"/>
      <c r="I149" s="29"/>
      <c r="J149" s="33"/>
      <c r="K149" s="34">
        <f t="shared" ref="K149:K150" si="27">J149*F149</f>
        <v>0</v>
      </c>
      <c r="L149" s="35"/>
    </row>
    <row r="150" spans="1:12" s="37" customFormat="1" x14ac:dyDescent="0.25">
      <c r="A150" s="30">
        <f>IF(F150&lt;&gt;"",1+MAX($A$7:A149),"")</f>
        <v>126</v>
      </c>
      <c r="B150" s="31"/>
      <c r="C150" s="37" t="s">
        <v>697</v>
      </c>
      <c r="D150" s="46">
        <v>3108.75</v>
      </c>
      <c r="E150" s="28">
        <v>0.1</v>
      </c>
      <c r="F150" s="32">
        <f t="shared" si="26"/>
        <v>3419.6250000000005</v>
      </c>
      <c r="G150" s="29" t="s">
        <v>275</v>
      </c>
      <c r="H150" s="29"/>
      <c r="I150" s="29"/>
      <c r="J150" s="33"/>
      <c r="K150" s="34">
        <f t="shared" si="27"/>
        <v>0</v>
      </c>
      <c r="L150" s="35"/>
    </row>
    <row r="151" spans="1:12" s="37" customFormat="1" x14ac:dyDescent="0.25">
      <c r="A151" s="30">
        <f>IF(F151&lt;&gt;"",1+MAX($A$7:A150),"")</f>
        <v>127</v>
      </c>
      <c r="B151" s="31"/>
      <c r="C151" s="37" t="s">
        <v>441</v>
      </c>
      <c r="D151" s="46">
        <f>49+247</f>
        <v>296</v>
      </c>
      <c r="E151" s="28">
        <v>0.1</v>
      </c>
      <c r="F151" s="32">
        <f t="shared" ref="F151:F152" si="28">D151*(1+E151)</f>
        <v>325.60000000000002</v>
      </c>
      <c r="G151" s="29" t="s">
        <v>65</v>
      </c>
      <c r="H151" s="29"/>
      <c r="I151" s="29"/>
      <c r="J151" s="33"/>
      <c r="K151" s="34">
        <f t="shared" ref="K151:K152" si="29">J151*F151</f>
        <v>0</v>
      </c>
      <c r="L151" s="35"/>
    </row>
    <row r="152" spans="1:12" s="37" customFormat="1" x14ac:dyDescent="0.25">
      <c r="A152" s="30">
        <f>IF(F152&lt;&gt;"",1+MAX($A$7:A151),"")</f>
        <v>128</v>
      </c>
      <c r="B152" s="31"/>
      <c r="C152" s="37" t="s">
        <v>442</v>
      </c>
      <c r="D152" s="46">
        <v>505</v>
      </c>
      <c r="E152" s="28">
        <v>0.1</v>
      </c>
      <c r="F152" s="32">
        <f t="shared" si="28"/>
        <v>555.5</v>
      </c>
      <c r="G152" s="29" t="s">
        <v>65</v>
      </c>
      <c r="H152" s="29"/>
      <c r="I152" s="29"/>
      <c r="J152" s="33"/>
      <c r="K152" s="34">
        <f t="shared" si="29"/>
        <v>0</v>
      </c>
      <c r="L152" s="35"/>
    </row>
    <row r="153" spans="1:12" s="37" customFormat="1" x14ac:dyDescent="0.25">
      <c r="A153" s="30">
        <f>IF(F153&lt;&gt;"",1+MAX($A$7:A152),"")</f>
        <v>129</v>
      </c>
      <c r="B153" s="31"/>
      <c r="C153" s="37" t="s">
        <v>698</v>
      </c>
      <c r="D153" s="46">
        <v>126.136</v>
      </c>
      <c r="E153" s="28">
        <v>0.1</v>
      </c>
      <c r="F153" s="32">
        <f t="shared" ref="F153:F154" si="30">D153*(1+E153)</f>
        <v>138.74960000000002</v>
      </c>
      <c r="G153" s="29" t="s">
        <v>65</v>
      </c>
      <c r="H153" s="29"/>
      <c r="I153" s="29"/>
      <c r="J153" s="33"/>
      <c r="K153" s="34">
        <f t="shared" ref="K153:K154" si="31">J153*F153</f>
        <v>0</v>
      </c>
      <c r="L153" s="35"/>
    </row>
    <row r="154" spans="1:12" s="37" customFormat="1" x14ac:dyDescent="0.25">
      <c r="A154" s="30">
        <f>IF(F154&lt;&gt;"",1+MAX($A$7:A153),"")</f>
        <v>130</v>
      </c>
      <c r="B154" s="31"/>
      <c r="C154" s="37" t="s">
        <v>699</v>
      </c>
      <c r="D154" s="46">
        <v>335</v>
      </c>
      <c r="E154" s="28">
        <v>0.1</v>
      </c>
      <c r="F154" s="32">
        <f t="shared" si="30"/>
        <v>368.50000000000006</v>
      </c>
      <c r="G154" s="29" t="s">
        <v>65</v>
      </c>
      <c r="H154" s="29"/>
      <c r="I154" s="29"/>
      <c r="J154" s="33"/>
      <c r="K154" s="34">
        <f t="shared" si="31"/>
        <v>0</v>
      </c>
      <c r="L154" s="35"/>
    </row>
    <row r="155" spans="1:12" s="37" customFormat="1" x14ac:dyDescent="0.25">
      <c r="A155" s="30">
        <f>IF(F155&lt;&gt;"",1+MAX($A$7:A154),"")</f>
        <v>131</v>
      </c>
      <c r="B155" s="31"/>
      <c r="C155" s="37" t="s">
        <v>700</v>
      </c>
      <c r="D155" s="46">
        <v>1</v>
      </c>
      <c r="E155" s="28">
        <v>0</v>
      </c>
      <c r="F155" s="32">
        <f t="shared" ref="F155" si="32">D155*(1+E155)</f>
        <v>1</v>
      </c>
      <c r="G155" s="29" t="s">
        <v>66</v>
      </c>
      <c r="H155" s="29"/>
      <c r="I155" s="29"/>
      <c r="J155" s="33"/>
      <c r="K155" s="34">
        <f t="shared" ref="K155" si="33">J155*F155</f>
        <v>0</v>
      </c>
      <c r="L155" s="35"/>
    </row>
    <row r="156" spans="1:12" s="37" customFormat="1" x14ac:dyDescent="0.25">
      <c r="A156" s="30">
        <f>IF(F156&lt;&gt;"",1+MAX($A$7:A155),"")</f>
        <v>132</v>
      </c>
      <c r="B156" s="31"/>
      <c r="C156" s="37" t="s">
        <v>701</v>
      </c>
      <c r="D156" s="46">
        <v>2</v>
      </c>
      <c r="E156" s="28">
        <v>0</v>
      </c>
      <c r="F156" s="32">
        <f t="shared" ref="F156" si="34">D156*(1+E156)</f>
        <v>2</v>
      </c>
      <c r="G156" s="29" t="s">
        <v>66</v>
      </c>
      <c r="H156" s="29"/>
      <c r="I156" s="29"/>
      <c r="J156" s="33"/>
      <c r="K156" s="34">
        <f t="shared" ref="K156" si="35">J156*F156</f>
        <v>0</v>
      </c>
      <c r="L156" s="35"/>
    </row>
    <row r="157" spans="1:12" s="37" customFormat="1" x14ac:dyDescent="0.25">
      <c r="A157" s="30" t="str">
        <f>IF(F157&lt;&gt;"",1+MAX($A$7:A156),"")</f>
        <v/>
      </c>
      <c r="B157" s="31"/>
      <c r="D157" s="46"/>
      <c r="E157" s="28"/>
      <c r="F157" s="32"/>
      <c r="G157" s="29"/>
      <c r="H157" s="29"/>
      <c r="I157" s="29"/>
      <c r="J157" s="33"/>
      <c r="K157" s="34"/>
      <c r="L157" s="35"/>
    </row>
    <row r="158" spans="1:12" s="37" customFormat="1" x14ac:dyDescent="0.25">
      <c r="A158" s="30" t="str">
        <f>IF(F158&lt;&gt;"",1+MAX($A$7:A157),"")</f>
        <v/>
      </c>
      <c r="B158" s="31"/>
      <c r="C158" s="98" t="s">
        <v>512</v>
      </c>
      <c r="D158" s="46"/>
      <c r="E158" s="28"/>
      <c r="F158" s="32"/>
      <c r="G158" s="29"/>
      <c r="H158" s="29"/>
      <c r="I158" s="29"/>
      <c r="J158" s="33"/>
      <c r="K158" s="34"/>
      <c r="L158" s="35"/>
    </row>
    <row r="159" spans="1:12" s="37" customFormat="1" x14ac:dyDescent="0.25">
      <c r="A159" s="30">
        <f>IF(F159&lt;&gt;"",1+MAX($A$7:A158),"")</f>
        <v>133</v>
      </c>
      <c r="B159" s="31"/>
      <c r="C159" s="37" t="s">
        <v>702</v>
      </c>
      <c r="D159" s="46">
        <v>519.82429999999999</v>
      </c>
      <c r="E159" s="28">
        <v>0.1</v>
      </c>
      <c r="F159" s="32">
        <f t="shared" ref="F159:F171" si="36">D159*(1+E159)</f>
        <v>571.80673000000002</v>
      </c>
      <c r="G159" s="29" t="s">
        <v>65</v>
      </c>
      <c r="H159" s="29"/>
      <c r="I159" s="29"/>
      <c r="J159" s="33"/>
      <c r="K159" s="34">
        <f t="shared" ref="K159:K171" si="37">J159*F159</f>
        <v>0</v>
      </c>
      <c r="L159" s="35"/>
    </row>
    <row r="160" spans="1:12" s="37" customFormat="1" x14ac:dyDescent="0.25">
      <c r="A160" s="30">
        <f>IF(F160&lt;&gt;"",1+MAX($A$7:A159),"")</f>
        <v>134</v>
      </c>
      <c r="B160" s="31"/>
      <c r="C160" s="37" t="s">
        <v>1100</v>
      </c>
      <c r="D160" s="46">
        <v>371.2</v>
      </c>
      <c r="E160" s="28">
        <v>0.1</v>
      </c>
      <c r="F160" s="32">
        <f t="shared" si="36"/>
        <v>408.32</v>
      </c>
      <c r="G160" s="29" t="s">
        <v>65</v>
      </c>
      <c r="H160" s="29"/>
      <c r="I160" s="29"/>
      <c r="J160" s="33"/>
      <c r="K160" s="34">
        <f t="shared" si="37"/>
        <v>0</v>
      </c>
      <c r="L160" s="35"/>
    </row>
    <row r="161" spans="1:12" s="37" customFormat="1" ht="60" x14ac:dyDescent="0.25">
      <c r="A161" s="30">
        <f>IF(F161&lt;&gt;"",1+MAX($A$7:A160),"")</f>
        <v>135</v>
      </c>
      <c r="B161" s="31"/>
      <c r="C161" s="50" t="s">
        <v>513</v>
      </c>
      <c r="D161" s="46">
        <v>621.09839999999997</v>
      </c>
      <c r="E161" s="28">
        <v>0.1</v>
      </c>
      <c r="F161" s="32">
        <f t="shared" si="36"/>
        <v>683.20824000000005</v>
      </c>
      <c r="G161" s="29" t="s">
        <v>65</v>
      </c>
      <c r="H161" s="29"/>
      <c r="I161" s="29"/>
      <c r="J161" s="33"/>
      <c r="K161" s="34">
        <f t="shared" si="37"/>
        <v>0</v>
      </c>
      <c r="L161" s="35"/>
    </row>
    <row r="162" spans="1:12" s="37" customFormat="1" x14ac:dyDescent="0.25">
      <c r="A162" s="30">
        <f>IF(F162&lt;&gt;"",1+MAX($A$7:A161),"")</f>
        <v>136</v>
      </c>
      <c r="B162" s="31"/>
      <c r="C162" s="37" t="s">
        <v>865</v>
      </c>
      <c r="D162" s="46">
        <v>236.72059999999999</v>
      </c>
      <c r="E162" s="28">
        <v>0.1</v>
      </c>
      <c r="F162" s="32">
        <f t="shared" si="36"/>
        <v>260.39266000000003</v>
      </c>
      <c r="G162" s="29" t="s">
        <v>65</v>
      </c>
      <c r="H162" s="29"/>
      <c r="I162" s="29"/>
      <c r="J162" s="33"/>
      <c r="K162" s="34">
        <f t="shared" si="37"/>
        <v>0</v>
      </c>
      <c r="L162" s="35"/>
    </row>
    <row r="163" spans="1:12" s="37" customFormat="1" x14ac:dyDescent="0.25">
      <c r="A163" s="30">
        <f>IF(F163&lt;&gt;"",1+MAX($A$7:A162),"")</f>
        <v>137</v>
      </c>
      <c r="B163" s="31"/>
      <c r="C163" s="37" t="s">
        <v>703</v>
      </c>
      <c r="D163" s="46">
        <v>1</v>
      </c>
      <c r="E163" s="28">
        <v>0</v>
      </c>
      <c r="F163" s="32">
        <f t="shared" si="36"/>
        <v>1</v>
      </c>
      <c r="G163" s="29" t="s">
        <v>66</v>
      </c>
      <c r="H163" s="29"/>
      <c r="I163" s="29"/>
      <c r="J163" s="33"/>
      <c r="K163" s="34">
        <f t="shared" si="37"/>
        <v>0</v>
      </c>
      <c r="L163" s="35"/>
    </row>
    <row r="164" spans="1:12" s="37" customFormat="1" x14ac:dyDescent="0.25">
      <c r="A164" s="30">
        <f>IF(F164&lt;&gt;"",1+MAX($A$7:A163),"")</f>
        <v>138</v>
      </c>
      <c r="B164" s="31"/>
      <c r="C164" s="37" t="s">
        <v>704</v>
      </c>
      <c r="D164" s="46">
        <v>1</v>
      </c>
      <c r="E164" s="28">
        <v>0</v>
      </c>
      <c r="F164" s="32">
        <f t="shared" si="36"/>
        <v>1</v>
      </c>
      <c r="G164" s="29" t="s">
        <v>66</v>
      </c>
      <c r="H164" s="29"/>
      <c r="I164" s="29"/>
      <c r="J164" s="33"/>
      <c r="K164" s="34">
        <f t="shared" si="37"/>
        <v>0</v>
      </c>
      <c r="L164" s="35"/>
    </row>
    <row r="165" spans="1:12" s="37" customFormat="1" x14ac:dyDescent="0.25">
      <c r="A165" s="30">
        <f>IF(F165&lt;&gt;"",1+MAX($A$7:A164),"")</f>
        <v>139</v>
      </c>
      <c r="B165" s="31"/>
      <c r="C165" s="37" t="s">
        <v>705</v>
      </c>
      <c r="D165" s="46">
        <v>1</v>
      </c>
      <c r="E165" s="28">
        <v>0</v>
      </c>
      <c r="F165" s="32">
        <f t="shared" si="36"/>
        <v>1</v>
      </c>
      <c r="G165" s="29" t="s">
        <v>66</v>
      </c>
      <c r="H165" s="29"/>
      <c r="I165" s="29"/>
      <c r="J165" s="33"/>
      <c r="K165" s="34">
        <f t="shared" si="37"/>
        <v>0</v>
      </c>
      <c r="L165" s="35"/>
    </row>
    <row r="166" spans="1:12" s="37" customFormat="1" ht="45" x14ac:dyDescent="0.25">
      <c r="A166" s="30">
        <f>IF(F166&lt;&gt;"",1+MAX($A$7:A165),"")</f>
        <v>140</v>
      </c>
      <c r="B166" s="31"/>
      <c r="C166" s="50" t="s">
        <v>509</v>
      </c>
      <c r="D166" s="46">
        <v>8</v>
      </c>
      <c r="E166" s="28">
        <v>0</v>
      </c>
      <c r="F166" s="32">
        <f t="shared" si="36"/>
        <v>8</v>
      </c>
      <c r="G166" s="29" t="s">
        <v>66</v>
      </c>
      <c r="H166" s="29"/>
      <c r="I166" s="29"/>
      <c r="J166" s="33"/>
      <c r="K166" s="34">
        <f t="shared" si="37"/>
        <v>0</v>
      </c>
      <c r="L166" s="35"/>
    </row>
    <row r="167" spans="1:12" s="37" customFormat="1" ht="45" x14ac:dyDescent="0.25">
      <c r="A167" s="30">
        <f>IF(F167&lt;&gt;"",1+MAX($A$7:A166),"")</f>
        <v>141</v>
      </c>
      <c r="B167" s="31"/>
      <c r="C167" s="50" t="s">
        <v>510</v>
      </c>
      <c r="D167" s="46">
        <v>8</v>
      </c>
      <c r="E167" s="28">
        <v>0</v>
      </c>
      <c r="F167" s="32">
        <f t="shared" si="36"/>
        <v>8</v>
      </c>
      <c r="G167" s="29" t="s">
        <v>66</v>
      </c>
      <c r="H167" s="29"/>
      <c r="I167" s="29"/>
      <c r="J167" s="33"/>
      <c r="K167" s="34">
        <f t="shared" si="37"/>
        <v>0</v>
      </c>
      <c r="L167" s="35"/>
    </row>
    <row r="168" spans="1:12" s="37" customFormat="1" x14ac:dyDescent="0.25">
      <c r="A168" s="30">
        <f>IF(F168&lt;&gt;"",1+MAX($A$7:A167),"")</f>
        <v>142</v>
      </c>
      <c r="B168" s="31"/>
      <c r="C168" s="37" t="s">
        <v>506</v>
      </c>
      <c r="D168" s="46">
        <v>29</v>
      </c>
      <c r="E168" s="28">
        <v>0</v>
      </c>
      <c r="F168" s="32">
        <f t="shared" si="36"/>
        <v>29</v>
      </c>
      <c r="G168" s="29" t="s">
        <v>66</v>
      </c>
      <c r="H168" s="29"/>
      <c r="I168" s="29"/>
      <c r="J168" s="33"/>
      <c r="K168" s="34">
        <f t="shared" si="37"/>
        <v>0</v>
      </c>
      <c r="L168" s="35"/>
    </row>
    <row r="169" spans="1:12" s="37" customFormat="1" x14ac:dyDescent="0.25">
      <c r="A169" s="30">
        <f>IF(F169&lt;&gt;"",1+MAX($A$7:A168),"")</f>
        <v>143</v>
      </c>
      <c r="B169" s="31"/>
      <c r="C169" s="37" t="s">
        <v>514</v>
      </c>
      <c r="D169" s="46">
        <v>14</v>
      </c>
      <c r="E169" s="28">
        <v>0</v>
      </c>
      <c r="F169" s="32">
        <f t="shared" si="36"/>
        <v>14</v>
      </c>
      <c r="G169" s="29" t="s">
        <v>66</v>
      </c>
      <c r="H169" s="29"/>
      <c r="I169" s="29"/>
      <c r="J169" s="33"/>
      <c r="K169" s="34">
        <f t="shared" si="37"/>
        <v>0</v>
      </c>
      <c r="L169" s="35"/>
    </row>
    <row r="170" spans="1:12" s="37" customFormat="1" x14ac:dyDescent="0.25">
      <c r="A170" s="30">
        <f>IF(F170&lt;&gt;"",1+MAX($A$7:A169),"")</f>
        <v>144</v>
      </c>
      <c r="B170" s="31"/>
      <c r="C170" s="37" t="s">
        <v>511</v>
      </c>
      <c r="D170" s="46">
        <v>33</v>
      </c>
      <c r="E170" s="28">
        <v>0</v>
      </c>
      <c r="F170" s="32">
        <f t="shared" si="36"/>
        <v>33</v>
      </c>
      <c r="G170" s="29" t="s">
        <v>66</v>
      </c>
      <c r="H170" s="29"/>
      <c r="I170" s="29"/>
      <c r="J170" s="33"/>
      <c r="K170" s="34">
        <f t="shared" si="37"/>
        <v>0</v>
      </c>
      <c r="L170" s="35"/>
    </row>
    <row r="171" spans="1:12" s="37" customFormat="1" x14ac:dyDescent="0.25">
      <c r="A171" s="30">
        <f>IF(F171&lt;&gt;"",1+MAX($A$7:A170),"")</f>
        <v>145</v>
      </c>
      <c r="B171" s="31"/>
      <c r="C171" s="37" t="s">
        <v>706</v>
      </c>
      <c r="D171" s="46">
        <v>2</v>
      </c>
      <c r="E171" s="28">
        <v>0</v>
      </c>
      <c r="F171" s="32">
        <f t="shared" si="36"/>
        <v>2</v>
      </c>
      <c r="G171" s="29" t="s">
        <v>66</v>
      </c>
      <c r="H171" s="29"/>
      <c r="I171" s="29"/>
      <c r="J171" s="33"/>
      <c r="K171" s="34">
        <f t="shared" si="37"/>
        <v>0</v>
      </c>
      <c r="L171" s="35"/>
    </row>
    <row r="172" spans="1:12" s="37" customFormat="1" x14ac:dyDescent="0.25">
      <c r="A172" s="30" t="str">
        <f>IF(F172&lt;&gt;"",1+MAX($A$7:A171),"")</f>
        <v/>
      </c>
      <c r="B172" s="31"/>
      <c r="D172" s="46"/>
      <c r="E172" s="28"/>
      <c r="F172" s="32"/>
      <c r="G172" s="29"/>
      <c r="H172" s="29"/>
      <c r="I172" s="29"/>
      <c r="J172" s="33"/>
      <c r="K172" s="34"/>
      <c r="L172" s="35"/>
    </row>
    <row r="173" spans="1:12" s="37" customFormat="1" x14ac:dyDescent="0.25">
      <c r="A173" s="30" t="str">
        <f>IF(F173&lt;&gt;"",1+MAX($A$7:A172),"")</f>
        <v/>
      </c>
      <c r="B173" s="31"/>
      <c r="C173" s="98" t="s">
        <v>398</v>
      </c>
      <c r="D173" s="46"/>
      <c r="E173" s="28"/>
      <c r="F173" s="32"/>
      <c r="G173" s="29"/>
      <c r="H173" s="29"/>
      <c r="I173" s="29"/>
      <c r="J173" s="33"/>
      <c r="K173" s="34"/>
      <c r="L173" s="35"/>
    </row>
    <row r="174" spans="1:12" s="37" customFormat="1" x14ac:dyDescent="0.25">
      <c r="A174" s="30">
        <f>IF(F174&lt;&gt;"",1+MAX($A$7:A173),"")</f>
        <v>146</v>
      </c>
      <c r="B174" s="31"/>
      <c r="C174" s="37" t="s">
        <v>399</v>
      </c>
      <c r="D174" s="46">
        <v>12</v>
      </c>
      <c r="E174" s="28">
        <v>0</v>
      </c>
      <c r="F174" s="32">
        <f t="shared" ref="F174:F217" si="38">D174*(1+E174)</f>
        <v>12</v>
      </c>
      <c r="G174" s="29" t="s">
        <v>66</v>
      </c>
      <c r="H174" s="29"/>
      <c r="I174" s="29"/>
      <c r="J174" s="33"/>
      <c r="K174" s="34">
        <f t="shared" ref="K174:K217" si="39">J174*F174</f>
        <v>0</v>
      </c>
      <c r="L174" s="35"/>
    </row>
    <row r="175" spans="1:12" s="37" customFormat="1" x14ac:dyDescent="0.25">
      <c r="A175" s="30">
        <f>IF(F175&lt;&gt;"",1+MAX($A$7:A174),"")</f>
        <v>147</v>
      </c>
      <c r="B175" s="31"/>
      <c r="C175" s="37" t="s">
        <v>400</v>
      </c>
      <c r="D175" s="46">
        <v>13</v>
      </c>
      <c r="E175" s="28">
        <v>0</v>
      </c>
      <c r="F175" s="32">
        <f t="shared" si="38"/>
        <v>13</v>
      </c>
      <c r="G175" s="29" t="s">
        <v>66</v>
      </c>
      <c r="H175" s="29"/>
      <c r="I175" s="29"/>
      <c r="J175" s="33"/>
      <c r="K175" s="34">
        <f t="shared" si="39"/>
        <v>0</v>
      </c>
      <c r="L175" s="35"/>
    </row>
    <row r="176" spans="1:12" s="37" customFormat="1" x14ac:dyDescent="0.25">
      <c r="A176" s="30">
        <f>IF(F176&lt;&gt;"",1+MAX($A$7:A175),"")</f>
        <v>148</v>
      </c>
      <c r="B176" s="31"/>
      <c r="C176" s="37" t="s">
        <v>401</v>
      </c>
      <c r="D176" s="46">
        <v>2</v>
      </c>
      <c r="E176" s="28">
        <v>0</v>
      </c>
      <c r="F176" s="32">
        <f t="shared" si="38"/>
        <v>2</v>
      </c>
      <c r="G176" s="29" t="s">
        <v>66</v>
      </c>
      <c r="H176" s="29"/>
      <c r="I176" s="29"/>
      <c r="J176" s="33"/>
      <c r="K176" s="34">
        <f t="shared" si="39"/>
        <v>0</v>
      </c>
      <c r="L176" s="35"/>
    </row>
    <row r="177" spans="1:12" s="37" customFormat="1" x14ac:dyDescent="0.25">
      <c r="A177" s="30">
        <f>IF(F177&lt;&gt;"",1+MAX($A$7:A176),"")</f>
        <v>149</v>
      </c>
      <c r="B177" s="31"/>
      <c r="C177" s="37" t="s">
        <v>401</v>
      </c>
      <c r="D177" s="46">
        <v>2</v>
      </c>
      <c r="E177" s="28">
        <v>0</v>
      </c>
      <c r="F177" s="32">
        <f t="shared" si="38"/>
        <v>2</v>
      </c>
      <c r="G177" s="29" t="s">
        <v>66</v>
      </c>
      <c r="H177" s="29"/>
      <c r="I177" s="29"/>
      <c r="J177" s="33"/>
      <c r="K177" s="34">
        <f t="shared" si="39"/>
        <v>0</v>
      </c>
      <c r="L177" s="35"/>
    </row>
    <row r="178" spans="1:12" s="37" customFormat="1" x14ac:dyDescent="0.25">
      <c r="A178" s="30">
        <f>IF(F178&lt;&gt;"",1+MAX($A$7:A177),"")</f>
        <v>150</v>
      </c>
      <c r="B178" s="31"/>
      <c r="C178" s="37" t="s">
        <v>402</v>
      </c>
      <c r="D178" s="46">
        <v>3</v>
      </c>
      <c r="E178" s="28">
        <v>0</v>
      </c>
      <c r="F178" s="32">
        <f t="shared" si="38"/>
        <v>3</v>
      </c>
      <c r="G178" s="29" t="s">
        <v>66</v>
      </c>
      <c r="H178" s="29"/>
      <c r="I178" s="29"/>
      <c r="J178" s="33"/>
      <c r="K178" s="34">
        <f t="shared" si="39"/>
        <v>0</v>
      </c>
      <c r="L178" s="35"/>
    </row>
    <row r="179" spans="1:12" s="37" customFormat="1" x14ac:dyDescent="0.25">
      <c r="A179" s="30">
        <f>IF(F179&lt;&gt;"",1+MAX($A$7:A178),"")</f>
        <v>151</v>
      </c>
      <c r="B179" s="31"/>
      <c r="C179" s="37" t="s">
        <v>403</v>
      </c>
      <c r="D179" s="46">
        <v>1</v>
      </c>
      <c r="E179" s="28">
        <v>0</v>
      </c>
      <c r="F179" s="32">
        <f t="shared" si="38"/>
        <v>1</v>
      </c>
      <c r="G179" s="29" t="s">
        <v>66</v>
      </c>
      <c r="H179" s="29"/>
      <c r="I179" s="29"/>
      <c r="J179" s="33"/>
      <c r="K179" s="34">
        <f t="shared" si="39"/>
        <v>0</v>
      </c>
      <c r="L179" s="35"/>
    </row>
    <row r="180" spans="1:12" s="37" customFormat="1" x14ac:dyDescent="0.25">
      <c r="A180" s="30">
        <f>IF(F180&lt;&gt;"",1+MAX($A$7:A179),"")</f>
        <v>152</v>
      </c>
      <c r="B180" s="31"/>
      <c r="C180" s="37" t="s">
        <v>403</v>
      </c>
      <c r="D180" s="46">
        <v>1</v>
      </c>
      <c r="E180" s="28">
        <v>0</v>
      </c>
      <c r="F180" s="32">
        <f t="shared" si="38"/>
        <v>1</v>
      </c>
      <c r="G180" s="29" t="s">
        <v>66</v>
      </c>
      <c r="H180" s="29"/>
      <c r="I180" s="29"/>
      <c r="J180" s="33"/>
      <c r="K180" s="34">
        <f t="shared" si="39"/>
        <v>0</v>
      </c>
      <c r="L180" s="35"/>
    </row>
    <row r="181" spans="1:12" s="37" customFormat="1" x14ac:dyDescent="0.25">
      <c r="A181" s="30">
        <f>IF(F181&lt;&gt;"",1+MAX($A$7:A180),"")</f>
        <v>153</v>
      </c>
      <c r="B181" s="31"/>
      <c r="C181" s="37" t="s">
        <v>404</v>
      </c>
      <c r="D181" s="46">
        <v>1</v>
      </c>
      <c r="E181" s="28">
        <v>0</v>
      </c>
      <c r="F181" s="32">
        <f t="shared" si="38"/>
        <v>1</v>
      </c>
      <c r="G181" s="29" t="s">
        <v>66</v>
      </c>
      <c r="H181" s="29"/>
      <c r="I181" s="29"/>
      <c r="J181" s="33"/>
      <c r="K181" s="34">
        <f t="shared" si="39"/>
        <v>0</v>
      </c>
      <c r="L181" s="35"/>
    </row>
    <row r="182" spans="1:12" s="37" customFormat="1" x14ac:dyDescent="0.25">
      <c r="A182" s="30">
        <f>IF(F182&lt;&gt;"",1+MAX($A$7:A181),"")</f>
        <v>154</v>
      </c>
      <c r="B182" s="31"/>
      <c r="C182" s="37" t="s">
        <v>405</v>
      </c>
      <c r="D182" s="46">
        <v>3</v>
      </c>
      <c r="E182" s="28">
        <v>0</v>
      </c>
      <c r="F182" s="32">
        <f t="shared" si="38"/>
        <v>3</v>
      </c>
      <c r="G182" s="29" t="s">
        <v>66</v>
      </c>
      <c r="H182" s="29"/>
      <c r="I182" s="29"/>
      <c r="J182" s="33"/>
      <c r="K182" s="34">
        <f t="shared" si="39"/>
        <v>0</v>
      </c>
      <c r="L182" s="35"/>
    </row>
    <row r="183" spans="1:12" s="37" customFormat="1" x14ac:dyDescent="0.25">
      <c r="A183" s="30">
        <f>IF(F183&lt;&gt;"",1+MAX($A$7:A182),"")</f>
        <v>155</v>
      </c>
      <c r="B183" s="31"/>
      <c r="C183" s="37" t="s">
        <v>406</v>
      </c>
      <c r="D183" s="46">
        <v>3</v>
      </c>
      <c r="E183" s="28">
        <v>0</v>
      </c>
      <c r="F183" s="32">
        <f t="shared" si="38"/>
        <v>3</v>
      </c>
      <c r="G183" s="29" t="s">
        <v>66</v>
      </c>
      <c r="H183" s="29"/>
      <c r="I183" s="29"/>
      <c r="J183" s="33"/>
      <c r="K183" s="34">
        <f t="shared" si="39"/>
        <v>0</v>
      </c>
      <c r="L183" s="35"/>
    </row>
    <row r="184" spans="1:12" s="37" customFormat="1" x14ac:dyDescent="0.25">
      <c r="A184" s="30">
        <f>IF(F184&lt;&gt;"",1+MAX($A$7:A183),"")</f>
        <v>156</v>
      </c>
      <c r="B184" s="31"/>
      <c r="C184" s="37" t="s">
        <v>407</v>
      </c>
      <c r="D184" s="46">
        <v>3</v>
      </c>
      <c r="E184" s="28">
        <v>0</v>
      </c>
      <c r="F184" s="32">
        <f t="shared" si="38"/>
        <v>3</v>
      </c>
      <c r="G184" s="29" t="s">
        <v>66</v>
      </c>
      <c r="H184" s="29"/>
      <c r="I184" s="29"/>
      <c r="J184" s="33"/>
      <c r="K184" s="34">
        <f t="shared" si="39"/>
        <v>0</v>
      </c>
      <c r="L184" s="35"/>
    </row>
    <row r="185" spans="1:12" s="37" customFormat="1" x14ac:dyDescent="0.25">
      <c r="A185" s="30">
        <f>IF(F185&lt;&gt;"",1+MAX($A$7:A184),"")</f>
        <v>157</v>
      </c>
      <c r="B185" s="31"/>
      <c r="C185" s="37" t="s">
        <v>407</v>
      </c>
      <c r="D185" s="46">
        <v>3</v>
      </c>
      <c r="E185" s="28">
        <v>0</v>
      </c>
      <c r="F185" s="32">
        <f t="shared" si="38"/>
        <v>3</v>
      </c>
      <c r="G185" s="29" t="s">
        <v>66</v>
      </c>
      <c r="H185" s="29"/>
      <c r="I185" s="29"/>
      <c r="J185" s="33"/>
      <c r="K185" s="34">
        <f t="shared" si="39"/>
        <v>0</v>
      </c>
      <c r="L185" s="35"/>
    </row>
    <row r="186" spans="1:12" s="37" customFormat="1" x14ac:dyDescent="0.25">
      <c r="A186" s="30">
        <f>IF(F186&lt;&gt;"",1+MAX($A$7:A185),"")</f>
        <v>158</v>
      </c>
      <c r="B186" s="31"/>
      <c r="C186" s="37" t="s">
        <v>408</v>
      </c>
      <c r="D186" s="46">
        <v>3</v>
      </c>
      <c r="E186" s="28">
        <v>0</v>
      </c>
      <c r="F186" s="32">
        <f t="shared" si="38"/>
        <v>3</v>
      </c>
      <c r="G186" s="29" t="s">
        <v>66</v>
      </c>
      <c r="H186" s="29"/>
      <c r="I186" s="29"/>
      <c r="J186" s="33"/>
      <c r="K186" s="34">
        <f t="shared" si="39"/>
        <v>0</v>
      </c>
      <c r="L186" s="35"/>
    </row>
    <row r="187" spans="1:12" s="37" customFormat="1" x14ac:dyDescent="0.25">
      <c r="A187" s="30">
        <f>IF(F187&lt;&gt;"",1+MAX($A$7:A186),"")</f>
        <v>159</v>
      </c>
      <c r="B187" s="31"/>
      <c r="C187" s="37" t="s">
        <v>408</v>
      </c>
      <c r="D187" s="46">
        <v>3</v>
      </c>
      <c r="E187" s="28">
        <v>0</v>
      </c>
      <c r="F187" s="32">
        <f t="shared" si="38"/>
        <v>3</v>
      </c>
      <c r="G187" s="29" t="s">
        <v>66</v>
      </c>
      <c r="H187" s="29"/>
      <c r="I187" s="29"/>
      <c r="J187" s="33"/>
      <c r="K187" s="34">
        <f t="shared" si="39"/>
        <v>0</v>
      </c>
      <c r="L187" s="35"/>
    </row>
    <row r="188" spans="1:12" s="37" customFormat="1" x14ac:dyDescent="0.25">
      <c r="A188" s="30">
        <f>IF(F188&lt;&gt;"",1+MAX($A$7:A187),"")</f>
        <v>160</v>
      </c>
      <c r="B188" s="31"/>
      <c r="C188" s="37" t="s">
        <v>409</v>
      </c>
      <c r="D188" s="46">
        <v>3</v>
      </c>
      <c r="E188" s="28">
        <v>0</v>
      </c>
      <c r="F188" s="32">
        <f t="shared" si="38"/>
        <v>3</v>
      </c>
      <c r="G188" s="29" t="s">
        <v>66</v>
      </c>
      <c r="H188" s="29"/>
      <c r="I188" s="29"/>
      <c r="J188" s="33"/>
      <c r="K188" s="34">
        <f t="shared" si="39"/>
        <v>0</v>
      </c>
      <c r="L188" s="35"/>
    </row>
    <row r="189" spans="1:12" s="37" customFormat="1" x14ac:dyDescent="0.25">
      <c r="A189" s="30">
        <f>IF(F189&lt;&gt;"",1+MAX($A$7:A188),"")</f>
        <v>161</v>
      </c>
      <c r="B189" s="31"/>
      <c r="C189" s="37" t="s">
        <v>410</v>
      </c>
      <c r="D189" s="46">
        <v>3</v>
      </c>
      <c r="E189" s="28">
        <v>0</v>
      </c>
      <c r="F189" s="32">
        <f t="shared" si="38"/>
        <v>3</v>
      </c>
      <c r="G189" s="29" t="s">
        <v>66</v>
      </c>
      <c r="H189" s="29"/>
      <c r="I189" s="29"/>
      <c r="J189" s="33"/>
      <c r="K189" s="34">
        <f t="shared" si="39"/>
        <v>0</v>
      </c>
      <c r="L189" s="35"/>
    </row>
    <row r="190" spans="1:12" s="37" customFormat="1" x14ac:dyDescent="0.25">
      <c r="A190" s="30">
        <f>IF(F190&lt;&gt;"",1+MAX($A$7:A189),"")</f>
        <v>162</v>
      </c>
      <c r="B190" s="31"/>
      <c r="C190" s="37" t="s">
        <v>411</v>
      </c>
      <c r="D190" s="46">
        <v>3</v>
      </c>
      <c r="E190" s="28">
        <v>0</v>
      </c>
      <c r="F190" s="32">
        <f t="shared" si="38"/>
        <v>3</v>
      </c>
      <c r="G190" s="29" t="s">
        <v>66</v>
      </c>
      <c r="H190" s="29"/>
      <c r="I190" s="29"/>
      <c r="J190" s="33"/>
      <c r="K190" s="34">
        <f t="shared" si="39"/>
        <v>0</v>
      </c>
      <c r="L190" s="35"/>
    </row>
    <row r="191" spans="1:12" s="37" customFormat="1" x14ac:dyDescent="0.25">
      <c r="A191" s="30">
        <f>IF(F191&lt;&gt;"",1+MAX($A$7:A190),"")</f>
        <v>163</v>
      </c>
      <c r="B191" s="31"/>
      <c r="C191" s="37" t="s">
        <v>412</v>
      </c>
      <c r="D191" s="46">
        <v>1</v>
      </c>
      <c r="E191" s="28">
        <v>0</v>
      </c>
      <c r="F191" s="32">
        <f t="shared" si="38"/>
        <v>1</v>
      </c>
      <c r="G191" s="29" t="s">
        <v>66</v>
      </c>
      <c r="H191" s="29"/>
      <c r="I191" s="29"/>
      <c r="J191" s="33"/>
      <c r="K191" s="34">
        <f t="shared" si="39"/>
        <v>0</v>
      </c>
      <c r="L191" s="35"/>
    </row>
    <row r="192" spans="1:12" s="37" customFormat="1" x14ac:dyDescent="0.25">
      <c r="A192" s="30">
        <f>IF(F192&lt;&gt;"",1+MAX($A$7:A191),"")</f>
        <v>164</v>
      </c>
      <c r="B192" s="31"/>
      <c r="C192" s="37" t="s">
        <v>413</v>
      </c>
      <c r="D192" s="46">
        <v>3</v>
      </c>
      <c r="E192" s="28">
        <v>0</v>
      </c>
      <c r="F192" s="32">
        <f t="shared" si="38"/>
        <v>3</v>
      </c>
      <c r="G192" s="29" t="s">
        <v>66</v>
      </c>
      <c r="H192" s="29"/>
      <c r="I192" s="29"/>
      <c r="J192" s="33"/>
      <c r="K192" s="34">
        <f t="shared" si="39"/>
        <v>0</v>
      </c>
      <c r="L192" s="35"/>
    </row>
    <row r="193" spans="1:12" s="37" customFormat="1" x14ac:dyDescent="0.25">
      <c r="A193" s="30">
        <f>IF(F193&lt;&gt;"",1+MAX($A$7:A192),"")</f>
        <v>165</v>
      </c>
      <c r="B193" s="31"/>
      <c r="C193" s="37" t="s">
        <v>414</v>
      </c>
      <c r="D193" s="46">
        <v>7</v>
      </c>
      <c r="E193" s="28">
        <v>0</v>
      </c>
      <c r="F193" s="32">
        <f t="shared" si="38"/>
        <v>7</v>
      </c>
      <c r="G193" s="29" t="s">
        <v>66</v>
      </c>
      <c r="H193" s="29"/>
      <c r="I193" s="29"/>
      <c r="J193" s="33"/>
      <c r="K193" s="34">
        <f t="shared" si="39"/>
        <v>0</v>
      </c>
      <c r="L193" s="35"/>
    </row>
    <row r="194" spans="1:12" s="37" customFormat="1" x14ac:dyDescent="0.25">
      <c r="A194" s="30">
        <f>IF(F194&lt;&gt;"",1+MAX($A$7:A193),"")</f>
        <v>166</v>
      </c>
      <c r="B194" s="31"/>
      <c r="C194" s="37" t="s">
        <v>415</v>
      </c>
      <c r="D194" s="46">
        <v>1</v>
      </c>
      <c r="E194" s="28">
        <v>0</v>
      </c>
      <c r="F194" s="32">
        <f t="shared" si="38"/>
        <v>1</v>
      </c>
      <c r="G194" s="29" t="s">
        <v>66</v>
      </c>
      <c r="H194" s="29"/>
      <c r="I194" s="29"/>
      <c r="J194" s="33"/>
      <c r="K194" s="34">
        <f t="shared" si="39"/>
        <v>0</v>
      </c>
      <c r="L194" s="35"/>
    </row>
    <row r="195" spans="1:12" s="37" customFormat="1" x14ac:dyDescent="0.25">
      <c r="A195" s="30">
        <f>IF(F195&lt;&gt;"",1+MAX($A$7:A194),"")</f>
        <v>167</v>
      </c>
      <c r="B195" s="31"/>
      <c r="C195" s="37" t="s">
        <v>416</v>
      </c>
      <c r="D195" s="46">
        <v>180</v>
      </c>
      <c r="E195" s="28">
        <v>0</v>
      </c>
      <c r="F195" s="32">
        <f t="shared" si="38"/>
        <v>180</v>
      </c>
      <c r="G195" s="29" t="s">
        <v>66</v>
      </c>
      <c r="H195" s="29"/>
      <c r="I195" s="29"/>
      <c r="J195" s="33"/>
      <c r="K195" s="34">
        <f t="shared" si="39"/>
        <v>0</v>
      </c>
      <c r="L195" s="35"/>
    </row>
    <row r="196" spans="1:12" s="37" customFormat="1" x14ac:dyDescent="0.25">
      <c r="A196" s="30">
        <f>IF(F196&lt;&gt;"",1+MAX($A$7:A195),"")</f>
        <v>168</v>
      </c>
      <c r="B196" s="31"/>
      <c r="C196" s="37" t="s">
        <v>417</v>
      </c>
      <c r="D196" s="46">
        <v>33</v>
      </c>
      <c r="E196" s="28">
        <v>0</v>
      </c>
      <c r="F196" s="32">
        <f t="shared" si="38"/>
        <v>33</v>
      </c>
      <c r="G196" s="29" t="s">
        <v>66</v>
      </c>
      <c r="H196" s="29"/>
      <c r="I196" s="29"/>
      <c r="J196" s="33"/>
      <c r="K196" s="34">
        <f t="shared" si="39"/>
        <v>0</v>
      </c>
      <c r="L196" s="35"/>
    </row>
    <row r="197" spans="1:12" s="37" customFormat="1" x14ac:dyDescent="0.25">
      <c r="A197" s="30">
        <f>IF(F197&lt;&gt;"",1+MAX($A$7:A196),"")</f>
        <v>169</v>
      </c>
      <c r="B197" s="31"/>
      <c r="C197" s="37" t="s">
        <v>418</v>
      </c>
      <c r="D197" s="46">
        <v>48</v>
      </c>
      <c r="E197" s="28">
        <v>0</v>
      </c>
      <c r="F197" s="32">
        <f t="shared" si="38"/>
        <v>48</v>
      </c>
      <c r="G197" s="29" t="s">
        <v>66</v>
      </c>
      <c r="H197" s="29"/>
      <c r="I197" s="29"/>
      <c r="J197" s="33"/>
      <c r="K197" s="34">
        <f t="shared" si="39"/>
        <v>0</v>
      </c>
      <c r="L197" s="35"/>
    </row>
    <row r="198" spans="1:12" s="37" customFormat="1" x14ac:dyDescent="0.25">
      <c r="A198" s="30">
        <f>IF(F198&lt;&gt;"",1+MAX($A$7:A197),"")</f>
        <v>170</v>
      </c>
      <c r="B198" s="31"/>
      <c r="C198" s="37" t="s">
        <v>419</v>
      </c>
      <c r="D198" s="46">
        <v>26</v>
      </c>
      <c r="E198" s="28">
        <v>0</v>
      </c>
      <c r="F198" s="32">
        <f t="shared" si="38"/>
        <v>26</v>
      </c>
      <c r="G198" s="29" t="s">
        <v>66</v>
      </c>
      <c r="H198" s="29"/>
      <c r="I198" s="29"/>
      <c r="J198" s="33"/>
      <c r="K198" s="34">
        <f t="shared" si="39"/>
        <v>0</v>
      </c>
      <c r="L198" s="35"/>
    </row>
    <row r="199" spans="1:12" s="37" customFormat="1" x14ac:dyDescent="0.25">
      <c r="A199" s="30">
        <f>IF(F199&lt;&gt;"",1+MAX($A$7:A198),"")</f>
        <v>171</v>
      </c>
      <c r="B199" s="31"/>
      <c r="C199" s="37" t="s">
        <v>420</v>
      </c>
      <c r="D199" s="46">
        <v>58</v>
      </c>
      <c r="E199" s="28">
        <v>0</v>
      </c>
      <c r="F199" s="32">
        <f t="shared" si="38"/>
        <v>58</v>
      </c>
      <c r="G199" s="29" t="s">
        <v>66</v>
      </c>
      <c r="H199" s="29"/>
      <c r="I199" s="29"/>
      <c r="J199" s="33"/>
      <c r="K199" s="34">
        <f t="shared" si="39"/>
        <v>0</v>
      </c>
      <c r="L199" s="35"/>
    </row>
    <row r="200" spans="1:12" s="37" customFormat="1" x14ac:dyDescent="0.25">
      <c r="A200" s="30">
        <f>IF(F200&lt;&gt;"",1+MAX($A$7:A199),"")</f>
        <v>172</v>
      </c>
      <c r="B200" s="31"/>
      <c r="C200" s="37" t="s">
        <v>420</v>
      </c>
      <c r="D200" s="46">
        <v>30</v>
      </c>
      <c r="E200" s="28">
        <v>0</v>
      </c>
      <c r="F200" s="32">
        <f t="shared" si="38"/>
        <v>30</v>
      </c>
      <c r="G200" s="29" t="s">
        <v>66</v>
      </c>
      <c r="H200" s="29"/>
      <c r="I200" s="29"/>
      <c r="J200" s="33"/>
      <c r="K200" s="34">
        <f t="shared" si="39"/>
        <v>0</v>
      </c>
      <c r="L200" s="35"/>
    </row>
    <row r="201" spans="1:12" s="37" customFormat="1" x14ac:dyDescent="0.25">
      <c r="A201" s="30">
        <f>IF(F201&lt;&gt;"",1+MAX($A$7:A200),"")</f>
        <v>173</v>
      </c>
      <c r="B201" s="31"/>
      <c r="C201" s="37" t="s">
        <v>421</v>
      </c>
      <c r="D201" s="46">
        <v>27</v>
      </c>
      <c r="E201" s="28">
        <v>0</v>
      </c>
      <c r="F201" s="32">
        <f t="shared" si="38"/>
        <v>27</v>
      </c>
      <c r="G201" s="29" t="s">
        <v>66</v>
      </c>
      <c r="H201" s="29"/>
      <c r="I201" s="29"/>
      <c r="J201" s="33"/>
      <c r="K201" s="34">
        <f t="shared" si="39"/>
        <v>0</v>
      </c>
      <c r="L201" s="35"/>
    </row>
    <row r="202" spans="1:12" s="37" customFormat="1" x14ac:dyDescent="0.25">
      <c r="A202" s="30">
        <f>IF(F202&lt;&gt;"",1+MAX($A$7:A201),"")</f>
        <v>174</v>
      </c>
      <c r="B202" s="31"/>
      <c r="C202" s="37" t="s">
        <v>422</v>
      </c>
      <c r="D202" s="46">
        <v>80</v>
      </c>
      <c r="E202" s="28">
        <v>0</v>
      </c>
      <c r="F202" s="32">
        <f t="shared" si="38"/>
        <v>80</v>
      </c>
      <c r="G202" s="29" t="s">
        <v>66</v>
      </c>
      <c r="H202" s="29"/>
      <c r="I202" s="29"/>
      <c r="J202" s="33"/>
      <c r="K202" s="34">
        <f t="shared" si="39"/>
        <v>0</v>
      </c>
      <c r="L202" s="35"/>
    </row>
    <row r="203" spans="1:12" s="37" customFormat="1" x14ac:dyDescent="0.25">
      <c r="A203" s="30">
        <f>IF(F203&lt;&gt;"",1+MAX($A$7:A202),"")</f>
        <v>175</v>
      </c>
      <c r="B203" s="31"/>
      <c r="C203" s="37" t="s">
        <v>423</v>
      </c>
      <c r="D203" s="46">
        <v>51</v>
      </c>
      <c r="E203" s="28">
        <v>0</v>
      </c>
      <c r="F203" s="32">
        <f t="shared" si="38"/>
        <v>51</v>
      </c>
      <c r="G203" s="29" t="s">
        <v>66</v>
      </c>
      <c r="H203" s="29"/>
      <c r="I203" s="29"/>
      <c r="J203" s="33"/>
      <c r="K203" s="34">
        <f t="shared" si="39"/>
        <v>0</v>
      </c>
      <c r="L203" s="35"/>
    </row>
    <row r="204" spans="1:12" s="37" customFormat="1" x14ac:dyDescent="0.25">
      <c r="A204" s="30">
        <f>IF(F204&lt;&gt;"",1+MAX($A$7:A203),"")</f>
        <v>176</v>
      </c>
      <c r="B204" s="31"/>
      <c r="C204" s="37" t="s">
        <v>424</v>
      </c>
      <c r="D204" s="46">
        <v>33</v>
      </c>
      <c r="E204" s="28">
        <v>0</v>
      </c>
      <c r="F204" s="32">
        <f t="shared" si="38"/>
        <v>33</v>
      </c>
      <c r="G204" s="29" t="s">
        <v>66</v>
      </c>
      <c r="H204" s="29"/>
      <c r="I204" s="29"/>
      <c r="J204" s="33"/>
      <c r="K204" s="34">
        <f t="shared" si="39"/>
        <v>0</v>
      </c>
      <c r="L204" s="35"/>
    </row>
    <row r="205" spans="1:12" s="37" customFormat="1" x14ac:dyDescent="0.25">
      <c r="A205" s="30">
        <f>IF(F205&lt;&gt;"",1+MAX($A$7:A204),"")</f>
        <v>177</v>
      </c>
      <c r="B205" s="31"/>
      <c r="C205" s="37" t="s">
        <v>425</v>
      </c>
      <c r="D205" s="46">
        <v>30</v>
      </c>
      <c r="E205" s="28">
        <v>0</v>
      </c>
      <c r="F205" s="32">
        <f t="shared" si="38"/>
        <v>30</v>
      </c>
      <c r="G205" s="29" t="s">
        <v>66</v>
      </c>
      <c r="H205" s="29"/>
      <c r="I205" s="29"/>
      <c r="J205" s="33"/>
      <c r="K205" s="34">
        <f t="shared" si="39"/>
        <v>0</v>
      </c>
      <c r="L205" s="35"/>
    </row>
    <row r="206" spans="1:12" s="37" customFormat="1" x14ac:dyDescent="0.25">
      <c r="A206" s="30">
        <f>IF(F206&lt;&gt;"",1+MAX($A$7:A205),"")</f>
        <v>178</v>
      </c>
      <c r="B206" s="31"/>
      <c r="C206" s="37" t="s">
        <v>426</v>
      </c>
      <c r="D206" s="46">
        <v>153</v>
      </c>
      <c r="E206" s="28">
        <v>0</v>
      </c>
      <c r="F206" s="32">
        <f t="shared" si="38"/>
        <v>153</v>
      </c>
      <c r="G206" s="29" t="s">
        <v>66</v>
      </c>
      <c r="H206" s="29"/>
      <c r="I206" s="29"/>
      <c r="J206" s="33"/>
      <c r="K206" s="34">
        <f t="shared" si="39"/>
        <v>0</v>
      </c>
      <c r="L206" s="35"/>
    </row>
    <row r="207" spans="1:12" s="37" customFormat="1" x14ac:dyDescent="0.25">
      <c r="A207" s="30">
        <f>IF(F207&lt;&gt;"",1+MAX($A$7:A206),"")</f>
        <v>179</v>
      </c>
      <c r="B207" s="31"/>
      <c r="C207" s="37" t="s">
        <v>427</v>
      </c>
      <c r="D207" s="46">
        <v>425</v>
      </c>
      <c r="E207" s="28">
        <v>0</v>
      </c>
      <c r="F207" s="32">
        <f t="shared" si="38"/>
        <v>425</v>
      </c>
      <c r="G207" s="29" t="s">
        <v>66</v>
      </c>
      <c r="H207" s="29"/>
      <c r="I207" s="29"/>
      <c r="J207" s="33"/>
      <c r="K207" s="34">
        <f t="shared" si="39"/>
        <v>0</v>
      </c>
      <c r="L207" s="35"/>
    </row>
    <row r="208" spans="1:12" s="37" customFormat="1" x14ac:dyDescent="0.25">
      <c r="A208" s="30">
        <f>IF(F208&lt;&gt;"",1+MAX($A$7:A207),"")</f>
        <v>180</v>
      </c>
      <c r="B208" s="31"/>
      <c r="C208" s="37" t="s">
        <v>428</v>
      </c>
      <c r="D208" s="46">
        <v>3865</v>
      </c>
      <c r="E208" s="28">
        <v>0</v>
      </c>
      <c r="F208" s="32">
        <f t="shared" si="38"/>
        <v>3865</v>
      </c>
      <c r="G208" s="29" t="s">
        <v>66</v>
      </c>
      <c r="H208" s="29"/>
      <c r="I208" s="29"/>
      <c r="J208" s="33"/>
      <c r="K208" s="34">
        <f t="shared" si="39"/>
        <v>0</v>
      </c>
      <c r="L208" s="35"/>
    </row>
    <row r="209" spans="1:12" s="37" customFormat="1" x14ac:dyDescent="0.25">
      <c r="A209" s="30">
        <f>IF(F209&lt;&gt;"",1+MAX($A$7:A208),"")</f>
        <v>181</v>
      </c>
      <c r="B209" s="31"/>
      <c r="C209" s="37" t="s">
        <v>429</v>
      </c>
      <c r="D209" s="46">
        <v>4035</v>
      </c>
      <c r="E209" s="28">
        <v>0</v>
      </c>
      <c r="F209" s="32">
        <f t="shared" si="38"/>
        <v>4035</v>
      </c>
      <c r="G209" s="29" t="s">
        <v>66</v>
      </c>
      <c r="H209" s="29"/>
      <c r="I209" s="29"/>
      <c r="J209" s="33"/>
      <c r="K209" s="34">
        <f t="shared" si="39"/>
        <v>0</v>
      </c>
      <c r="L209" s="35"/>
    </row>
    <row r="210" spans="1:12" s="37" customFormat="1" x14ac:dyDescent="0.25">
      <c r="A210" s="30">
        <f>IF(F210&lt;&gt;"",1+MAX($A$7:A209),"")</f>
        <v>182</v>
      </c>
      <c r="B210" s="31"/>
      <c r="C210" s="37" t="s">
        <v>430</v>
      </c>
      <c r="D210" s="46">
        <v>135</v>
      </c>
      <c r="E210" s="28">
        <v>0</v>
      </c>
      <c r="F210" s="32">
        <f t="shared" si="38"/>
        <v>135</v>
      </c>
      <c r="G210" s="29" t="s">
        <v>66</v>
      </c>
      <c r="H210" s="29"/>
      <c r="I210" s="29"/>
      <c r="J210" s="33"/>
      <c r="K210" s="34">
        <f t="shared" si="39"/>
        <v>0</v>
      </c>
      <c r="L210" s="35"/>
    </row>
    <row r="211" spans="1:12" s="37" customFormat="1" x14ac:dyDescent="0.25">
      <c r="A211" s="30">
        <f>IF(F211&lt;&gt;"",1+MAX($A$7:A210),"")</f>
        <v>183</v>
      </c>
      <c r="B211" s="31"/>
      <c r="C211" s="37" t="s">
        <v>431</v>
      </c>
      <c r="D211" s="46">
        <v>120</v>
      </c>
      <c r="E211" s="28">
        <v>0</v>
      </c>
      <c r="F211" s="32">
        <f t="shared" si="38"/>
        <v>120</v>
      </c>
      <c r="G211" s="29" t="s">
        <v>66</v>
      </c>
      <c r="H211" s="29"/>
      <c r="I211" s="29"/>
      <c r="J211" s="33"/>
      <c r="K211" s="34">
        <f t="shared" si="39"/>
        <v>0</v>
      </c>
      <c r="L211" s="35"/>
    </row>
    <row r="212" spans="1:12" s="37" customFormat="1" x14ac:dyDescent="0.25">
      <c r="A212" s="30">
        <f>IF(F212&lt;&gt;"",1+MAX($A$7:A211),"")</f>
        <v>184</v>
      </c>
      <c r="B212" s="31"/>
      <c r="C212" s="37" t="s">
        <v>432</v>
      </c>
      <c r="D212" s="46">
        <v>230</v>
      </c>
      <c r="E212" s="28">
        <v>0</v>
      </c>
      <c r="F212" s="32">
        <f t="shared" si="38"/>
        <v>230</v>
      </c>
      <c r="G212" s="29" t="s">
        <v>66</v>
      </c>
      <c r="H212" s="29"/>
      <c r="I212" s="29"/>
      <c r="J212" s="33"/>
      <c r="K212" s="34">
        <f t="shared" si="39"/>
        <v>0</v>
      </c>
      <c r="L212" s="35"/>
    </row>
    <row r="213" spans="1:12" s="37" customFormat="1" x14ac:dyDescent="0.25">
      <c r="A213" s="30">
        <f>IF(F213&lt;&gt;"",1+MAX($A$7:A212),"")</f>
        <v>185</v>
      </c>
      <c r="B213" s="31"/>
      <c r="C213" s="37" t="s">
        <v>433</v>
      </c>
      <c r="D213" s="46">
        <v>275</v>
      </c>
      <c r="E213" s="28">
        <v>0</v>
      </c>
      <c r="F213" s="32">
        <f t="shared" si="38"/>
        <v>275</v>
      </c>
      <c r="G213" s="29" t="s">
        <v>66</v>
      </c>
      <c r="H213" s="29"/>
      <c r="I213" s="29"/>
      <c r="J213" s="33"/>
      <c r="K213" s="34">
        <f t="shared" si="39"/>
        <v>0</v>
      </c>
      <c r="L213" s="35"/>
    </row>
    <row r="214" spans="1:12" s="37" customFormat="1" x14ac:dyDescent="0.25">
      <c r="A214" s="30">
        <f>IF(F214&lt;&gt;"",1+MAX($A$7:A213),"")</f>
        <v>186</v>
      </c>
      <c r="B214" s="31"/>
      <c r="C214" s="37" t="s">
        <v>434</v>
      </c>
      <c r="D214" s="46">
        <v>3</v>
      </c>
      <c r="E214" s="28">
        <v>0</v>
      </c>
      <c r="F214" s="32">
        <f t="shared" si="38"/>
        <v>3</v>
      </c>
      <c r="G214" s="29" t="s">
        <v>66</v>
      </c>
      <c r="H214" s="29"/>
      <c r="I214" s="29"/>
      <c r="J214" s="33"/>
      <c r="K214" s="34">
        <f t="shared" si="39"/>
        <v>0</v>
      </c>
      <c r="L214" s="35"/>
    </row>
    <row r="215" spans="1:12" s="37" customFormat="1" x14ac:dyDescent="0.25">
      <c r="A215" s="30">
        <f>IF(F215&lt;&gt;"",1+MAX($A$7:A214),"")</f>
        <v>187</v>
      </c>
      <c r="B215" s="31"/>
      <c r="C215" s="37" t="s">
        <v>435</v>
      </c>
      <c r="D215" s="46">
        <v>228</v>
      </c>
      <c r="E215" s="28">
        <v>0</v>
      </c>
      <c r="F215" s="32">
        <f t="shared" si="38"/>
        <v>228</v>
      </c>
      <c r="G215" s="29" t="s">
        <v>66</v>
      </c>
      <c r="H215" s="29"/>
      <c r="I215" s="29"/>
      <c r="J215" s="33"/>
      <c r="K215" s="34">
        <f t="shared" si="39"/>
        <v>0</v>
      </c>
      <c r="L215" s="35"/>
    </row>
    <row r="216" spans="1:12" s="37" customFormat="1" x14ac:dyDescent="0.25">
      <c r="A216" s="30">
        <f>IF(F216&lt;&gt;"",1+MAX($A$7:A215),"")</f>
        <v>188</v>
      </c>
      <c r="B216" s="31"/>
      <c r="C216" s="37" t="s">
        <v>436</v>
      </c>
      <c r="D216" s="46">
        <v>111</v>
      </c>
      <c r="E216" s="28">
        <v>0</v>
      </c>
      <c r="F216" s="32">
        <f t="shared" si="38"/>
        <v>111</v>
      </c>
      <c r="G216" s="29" t="s">
        <v>66</v>
      </c>
      <c r="H216" s="29"/>
      <c r="I216" s="29"/>
      <c r="J216" s="33"/>
      <c r="K216" s="34">
        <f t="shared" si="39"/>
        <v>0</v>
      </c>
      <c r="L216" s="35"/>
    </row>
    <row r="217" spans="1:12" s="37" customFormat="1" x14ac:dyDescent="0.25">
      <c r="A217" s="30">
        <f>IF(F217&lt;&gt;"",1+MAX($A$7:A216),"")</f>
        <v>189</v>
      </c>
      <c r="B217" s="31"/>
      <c r="C217" s="37" t="s">
        <v>437</v>
      </c>
      <c r="D217" s="46">
        <v>6415</v>
      </c>
      <c r="E217" s="28">
        <v>0</v>
      </c>
      <c r="F217" s="32">
        <f t="shared" si="38"/>
        <v>6415</v>
      </c>
      <c r="G217" s="29" t="s">
        <v>66</v>
      </c>
      <c r="H217" s="29"/>
      <c r="I217" s="29"/>
      <c r="J217" s="33"/>
      <c r="K217" s="34">
        <f t="shared" si="39"/>
        <v>0</v>
      </c>
      <c r="L217" s="35"/>
    </row>
    <row r="218" spans="1:12" s="37" customFormat="1" x14ac:dyDescent="0.25">
      <c r="A218" s="30">
        <f>IF(F218&lt;&gt;"",1+MAX($A$7:A217),"")</f>
        <v>190</v>
      </c>
      <c r="B218" s="31"/>
      <c r="C218" s="37" t="s">
        <v>438</v>
      </c>
      <c r="D218" s="46">
        <v>19500</v>
      </c>
      <c r="E218" s="28">
        <v>0.1</v>
      </c>
      <c r="F218" s="32">
        <f t="shared" ref="F218" si="40">D218*(1+E218)</f>
        <v>21450</v>
      </c>
      <c r="G218" s="29" t="s">
        <v>275</v>
      </c>
      <c r="H218" s="29"/>
      <c r="I218" s="29"/>
      <c r="J218" s="33"/>
      <c r="K218" s="34">
        <f t="shared" ref="K218" si="41">J218*F218</f>
        <v>0</v>
      </c>
      <c r="L218" s="35"/>
    </row>
    <row r="219" spans="1:12" s="37" customFormat="1" ht="15.75" thickBot="1" x14ac:dyDescent="0.3">
      <c r="A219" s="30" t="str">
        <f>IF(F219&lt;&gt;"",1+MAX($A$7:A218),"")</f>
        <v/>
      </c>
      <c r="B219" s="31"/>
      <c r="D219" s="46"/>
      <c r="E219" s="28"/>
      <c r="F219" s="32"/>
      <c r="G219" s="29"/>
      <c r="H219" s="29"/>
      <c r="I219" s="29"/>
      <c r="J219" s="33"/>
      <c r="K219" s="34"/>
      <c r="L219" s="35"/>
    </row>
    <row r="220" spans="1:12" ht="15.75" thickBot="1" x14ac:dyDescent="0.3">
      <c r="A220" s="99" t="str">
        <f>IF(F220&lt;&gt;"",1+MAX($A$7:A219),"")</f>
        <v/>
      </c>
      <c r="B220" s="7" t="s">
        <v>44</v>
      </c>
      <c r="C220" s="48" t="s">
        <v>41</v>
      </c>
      <c r="D220" s="102"/>
      <c r="E220" s="8"/>
      <c r="F220" s="8"/>
      <c r="G220" s="7"/>
      <c r="H220" s="7"/>
      <c r="I220" s="7"/>
      <c r="J220" s="25"/>
      <c r="K220" s="21"/>
      <c r="L220" s="9">
        <f>SUM(K221:K270)</f>
        <v>0</v>
      </c>
    </row>
    <row r="221" spans="1:12" s="37" customFormat="1" x14ac:dyDescent="0.25">
      <c r="A221" s="30" t="str">
        <f>IF(F221&lt;&gt;"",1+MAX($A$7:A220),"")</f>
        <v/>
      </c>
      <c r="B221" s="31"/>
      <c r="C221" s="43"/>
      <c r="D221" s="44"/>
      <c r="E221" s="28"/>
      <c r="F221" s="32"/>
      <c r="G221" s="29"/>
      <c r="H221" s="29"/>
      <c r="I221" s="29"/>
      <c r="J221" s="33"/>
      <c r="K221" s="34"/>
      <c r="L221" s="35"/>
    </row>
    <row r="222" spans="1:12" s="37" customFormat="1" x14ac:dyDescent="0.25">
      <c r="A222" s="30" t="str">
        <f>IF(F222&lt;&gt;"",1+MAX($A$7:A221),"")</f>
        <v/>
      </c>
      <c r="B222" s="31"/>
      <c r="C222" s="49" t="s">
        <v>585</v>
      </c>
      <c r="D222" s="44"/>
      <c r="E222" s="28"/>
      <c r="F222" s="32"/>
      <c r="G222" s="29"/>
      <c r="H222" s="29"/>
      <c r="I222" s="29"/>
      <c r="J222" s="33"/>
      <c r="K222" s="34"/>
      <c r="L222" s="35"/>
    </row>
    <row r="223" spans="1:12" s="37" customFormat="1" x14ac:dyDescent="0.25">
      <c r="A223" s="30">
        <f>IF(F223&lt;&gt;"",1+MAX($A$7:A222),"")</f>
        <v>191</v>
      </c>
      <c r="B223" s="31"/>
      <c r="C223" s="43" t="s">
        <v>1101</v>
      </c>
      <c r="D223" s="44">
        <f>(67.13+873.5)*9.33*2/27</f>
        <v>650.07984444444446</v>
      </c>
      <c r="E223" s="28">
        <v>0.1</v>
      </c>
      <c r="F223" s="32">
        <f t="shared" ref="F223:F242" si="42">D223*(1+E223)</f>
        <v>715.08782888888902</v>
      </c>
      <c r="G223" s="29" t="s">
        <v>379</v>
      </c>
      <c r="H223" s="29"/>
      <c r="I223" s="29"/>
      <c r="J223" s="33"/>
      <c r="K223" s="34">
        <f t="shared" ref="K223:K242" si="43">J223*F223</f>
        <v>0</v>
      </c>
      <c r="L223" s="35"/>
    </row>
    <row r="224" spans="1:12" s="37" customFormat="1" x14ac:dyDescent="0.25">
      <c r="A224" s="30">
        <f>IF(F224&lt;&gt;"",1+MAX($A$7:A223),"")</f>
        <v>192</v>
      </c>
      <c r="B224" s="31"/>
      <c r="C224" s="50" t="s">
        <v>587</v>
      </c>
      <c r="D224" s="44">
        <f>200.37*2*1/27</f>
        <v>14.842222222222222</v>
      </c>
      <c r="E224" s="28">
        <v>0.1</v>
      </c>
      <c r="F224" s="32">
        <f t="shared" si="42"/>
        <v>16.326444444444444</v>
      </c>
      <c r="G224" s="29" t="s">
        <v>379</v>
      </c>
      <c r="H224" s="29"/>
      <c r="I224" s="29"/>
      <c r="J224" s="33"/>
      <c r="K224" s="34">
        <f t="shared" si="43"/>
        <v>0</v>
      </c>
      <c r="L224" s="35"/>
    </row>
    <row r="225" spans="1:12" s="37" customFormat="1" x14ac:dyDescent="0.25">
      <c r="A225" s="30">
        <f>IF(F225&lt;&gt;"",1+MAX($A$7:A224),"")</f>
        <v>193</v>
      </c>
      <c r="B225" s="31"/>
      <c r="C225" s="37" t="s">
        <v>588</v>
      </c>
      <c r="D225" s="46">
        <f>5*100*2.33/27</f>
        <v>43.148148148148145</v>
      </c>
      <c r="E225" s="28">
        <v>0.1</v>
      </c>
      <c r="F225" s="32">
        <f t="shared" si="42"/>
        <v>47.462962962962962</v>
      </c>
      <c r="G225" s="29" t="s">
        <v>379</v>
      </c>
      <c r="H225" s="29"/>
      <c r="I225" s="29"/>
      <c r="J225" s="33"/>
      <c r="K225" s="34">
        <f t="shared" si="43"/>
        <v>0</v>
      </c>
      <c r="L225" s="35"/>
    </row>
    <row r="226" spans="1:12" s="37" customFormat="1" x14ac:dyDescent="0.25">
      <c r="A226" s="30">
        <f>IF(F226&lt;&gt;"",1+MAX($A$7:A225),"")</f>
        <v>194</v>
      </c>
      <c r="B226" s="31"/>
      <c r="C226" s="37" t="s">
        <v>589</v>
      </c>
      <c r="D226" s="46">
        <f>3*16*10*2.5/27</f>
        <v>44.444444444444443</v>
      </c>
      <c r="E226" s="28">
        <v>0.1</v>
      </c>
      <c r="F226" s="32">
        <f t="shared" si="42"/>
        <v>48.888888888888893</v>
      </c>
      <c r="G226" s="29" t="s">
        <v>379</v>
      </c>
      <c r="H226" s="29"/>
      <c r="I226" s="29"/>
      <c r="J226" s="33"/>
      <c r="K226" s="34">
        <f t="shared" si="43"/>
        <v>0</v>
      </c>
      <c r="L226" s="35"/>
    </row>
    <row r="227" spans="1:12" s="37" customFormat="1" x14ac:dyDescent="0.25">
      <c r="A227" s="30">
        <f>IF(F227&lt;&gt;"",1+MAX($A$7:A226),"")</f>
        <v>195</v>
      </c>
      <c r="B227" s="31"/>
      <c r="C227" s="37" t="s">
        <v>590</v>
      </c>
      <c r="D227" s="46">
        <f>4*11*11*2.5/27</f>
        <v>44.814814814814817</v>
      </c>
      <c r="E227" s="28">
        <v>0.1</v>
      </c>
      <c r="F227" s="32">
        <f t="shared" si="42"/>
        <v>49.296296296296305</v>
      </c>
      <c r="G227" s="29" t="s">
        <v>379</v>
      </c>
      <c r="H227" s="29"/>
      <c r="I227" s="29"/>
      <c r="J227" s="33"/>
      <c r="K227" s="34">
        <f t="shared" si="43"/>
        <v>0</v>
      </c>
      <c r="L227" s="35"/>
    </row>
    <row r="228" spans="1:12" s="37" customFormat="1" x14ac:dyDescent="0.25">
      <c r="A228" s="30">
        <f>IF(F228&lt;&gt;"",1+MAX($A$7:A227),"")</f>
        <v>196</v>
      </c>
      <c r="B228" s="31"/>
      <c r="C228" s="37" t="s">
        <v>591</v>
      </c>
      <c r="D228" s="46">
        <f>16*11.5*2.5/27</f>
        <v>17.037037037037038</v>
      </c>
      <c r="E228" s="28">
        <v>0.1</v>
      </c>
      <c r="F228" s="32">
        <f t="shared" si="42"/>
        <v>18.740740740740744</v>
      </c>
      <c r="G228" s="29" t="s">
        <v>379</v>
      </c>
      <c r="H228" s="29"/>
      <c r="I228" s="29"/>
      <c r="J228" s="33"/>
      <c r="K228" s="34">
        <f t="shared" si="43"/>
        <v>0</v>
      </c>
      <c r="L228" s="35"/>
    </row>
    <row r="229" spans="1:12" s="37" customFormat="1" x14ac:dyDescent="0.25">
      <c r="A229" s="30">
        <f>IF(F229&lt;&gt;"",1+MAX($A$7:A228),"")</f>
        <v>197</v>
      </c>
      <c r="B229" s="31"/>
      <c r="C229" s="37" t="s">
        <v>592</v>
      </c>
      <c r="D229" s="46">
        <f>2*12*12*2.667/27</f>
        <v>28.448</v>
      </c>
      <c r="E229" s="28">
        <v>0.1</v>
      </c>
      <c r="F229" s="32">
        <f t="shared" si="42"/>
        <v>31.292800000000003</v>
      </c>
      <c r="G229" s="29" t="s">
        <v>379</v>
      </c>
      <c r="H229" s="29"/>
      <c r="I229" s="29"/>
      <c r="J229" s="33"/>
      <c r="K229" s="34">
        <f t="shared" si="43"/>
        <v>0</v>
      </c>
      <c r="L229" s="35"/>
    </row>
    <row r="230" spans="1:12" s="37" customFormat="1" x14ac:dyDescent="0.25">
      <c r="A230" s="30">
        <f>IF(F230&lt;&gt;"",1+MAX($A$7:A229),"")</f>
        <v>198</v>
      </c>
      <c r="B230" s="31"/>
      <c r="C230" s="37" t="s">
        <v>593</v>
      </c>
      <c r="D230" s="46">
        <f>12.5*12.5*2.667/27</f>
        <v>15.434027777777775</v>
      </c>
      <c r="E230" s="28">
        <v>0.1</v>
      </c>
      <c r="F230" s="32">
        <f t="shared" si="42"/>
        <v>16.977430555555554</v>
      </c>
      <c r="G230" s="29" t="s">
        <v>379</v>
      </c>
      <c r="H230" s="29"/>
      <c r="I230" s="29"/>
      <c r="J230" s="33"/>
      <c r="K230" s="34">
        <f t="shared" si="43"/>
        <v>0</v>
      </c>
      <c r="L230" s="35"/>
    </row>
    <row r="231" spans="1:12" s="37" customFormat="1" x14ac:dyDescent="0.25">
      <c r="A231" s="30">
        <f>IF(F231&lt;&gt;"",1+MAX($A$7:A230),"")</f>
        <v>199</v>
      </c>
      <c r="B231" s="31"/>
      <c r="C231" s="37" t="s">
        <v>594</v>
      </c>
      <c r="D231" s="46">
        <f>13*13*2.833/27</f>
        <v>17.732481481481482</v>
      </c>
      <c r="E231" s="28">
        <v>0.1</v>
      </c>
      <c r="F231" s="32">
        <f t="shared" si="42"/>
        <v>19.505729629629631</v>
      </c>
      <c r="G231" s="29" t="s">
        <v>379</v>
      </c>
      <c r="H231" s="29"/>
      <c r="I231" s="29"/>
      <c r="J231" s="33"/>
      <c r="K231" s="34">
        <f t="shared" si="43"/>
        <v>0</v>
      </c>
      <c r="L231" s="35"/>
    </row>
    <row r="232" spans="1:12" s="37" customFormat="1" x14ac:dyDescent="0.25">
      <c r="A232" s="30">
        <f>IF(F232&lt;&gt;"",1+MAX($A$7:A231),"")</f>
        <v>200</v>
      </c>
      <c r="B232" s="31"/>
      <c r="C232" s="37" t="s">
        <v>595</v>
      </c>
      <c r="D232" s="46">
        <f>6*3*3*1/27</f>
        <v>2</v>
      </c>
      <c r="E232" s="28">
        <v>0.1</v>
      </c>
      <c r="F232" s="32">
        <f t="shared" si="42"/>
        <v>2.2000000000000002</v>
      </c>
      <c r="G232" s="29" t="s">
        <v>379</v>
      </c>
      <c r="H232" s="29"/>
      <c r="I232" s="29"/>
      <c r="J232" s="33"/>
      <c r="K232" s="34">
        <f t="shared" si="43"/>
        <v>0</v>
      </c>
      <c r="L232" s="35"/>
    </row>
    <row r="233" spans="1:12" s="37" customFormat="1" x14ac:dyDescent="0.25">
      <c r="A233" s="30">
        <f>IF(F233&lt;&gt;"",1+MAX($A$7:A232),"")</f>
        <v>201</v>
      </c>
      <c r="B233" s="31"/>
      <c r="C233" s="37" t="s">
        <v>596</v>
      </c>
      <c r="D233" s="46">
        <f>8*4.5*4.5*1/27</f>
        <v>6</v>
      </c>
      <c r="E233" s="28">
        <v>0.1</v>
      </c>
      <c r="F233" s="32">
        <f t="shared" si="42"/>
        <v>6.6000000000000005</v>
      </c>
      <c r="G233" s="29" t="s">
        <v>379</v>
      </c>
      <c r="H233" s="29"/>
      <c r="I233" s="29"/>
      <c r="J233" s="33"/>
      <c r="K233" s="34">
        <f t="shared" si="43"/>
        <v>0</v>
      </c>
      <c r="L233" s="35"/>
    </row>
    <row r="234" spans="1:12" s="37" customFormat="1" x14ac:dyDescent="0.25">
      <c r="A234" s="30">
        <f>IF(F234&lt;&gt;"",1+MAX($A$7:A233),"")</f>
        <v>202</v>
      </c>
      <c r="B234" s="31"/>
      <c r="C234" s="37" t="s">
        <v>597</v>
      </c>
      <c r="D234" s="46">
        <f>5*5.5*5.5*1.3/27</f>
        <v>7.2824074074074074</v>
      </c>
      <c r="E234" s="28">
        <v>0.1</v>
      </c>
      <c r="F234" s="32">
        <f t="shared" si="42"/>
        <v>8.0106481481481495</v>
      </c>
      <c r="G234" s="29" t="s">
        <v>379</v>
      </c>
      <c r="H234" s="29"/>
      <c r="I234" s="29"/>
      <c r="J234" s="33"/>
      <c r="K234" s="34">
        <f t="shared" si="43"/>
        <v>0</v>
      </c>
      <c r="L234" s="35"/>
    </row>
    <row r="235" spans="1:12" s="37" customFormat="1" x14ac:dyDescent="0.25">
      <c r="A235" s="30">
        <f>IF(F235&lt;&gt;"",1+MAX($A$7:A234),"")</f>
        <v>203</v>
      </c>
      <c r="B235" s="31"/>
      <c r="C235" s="37" t="s">
        <v>598</v>
      </c>
      <c r="D235" s="46">
        <f>9*36*1.5/27</f>
        <v>18</v>
      </c>
      <c r="E235" s="28">
        <v>0.1</v>
      </c>
      <c r="F235" s="32">
        <f t="shared" si="42"/>
        <v>19.8</v>
      </c>
      <c r="G235" s="29" t="s">
        <v>379</v>
      </c>
      <c r="H235" s="29"/>
      <c r="I235" s="29"/>
      <c r="J235" s="33"/>
      <c r="K235" s="34">
        <f t="shared" si="43"/>
        <v>0</v>
      </c>
      <c r="L235" s="35"/>
    </row>
    <row r="236" spans="1:12" s="37" customFormat="1" x14ac:dyDescent="0.25">
      <c r="A236" s="30">
        <f>IF(F236&lt;&gt;"",1+MAX($A$7:A235),"")</f>
        <v>204</v>
      </c>
      <c r="B236" s="31"/>
      <c r="C236" s="37" t="s">
        <v>599</v>
      </c>
      <c r="D236" s="46">
        <f>2*6.5*6.5*1.5/27</f>
        <v>4.6944444444444446</v>
      </c>
      <c r="E236" s="28">
        <v>0.1</v>
      </c>
      <c r="F236" s="32">
        <f t="shared" si="42"/>
        <v>5.1638888888888896</v>
      </c>
      <c r="G236" s="29" t="s">
        <v>379</v>
      </c>
      <c r="H236" s="29"/>
      <c r="I236" s="29"/>
      <c r="J236" s="33"/>
      <c r="K236" s="34">
        <f t="shared" si="43"/>
        <v>0</v>
      </c>
      <c r="L236" s="35"/>
    </row>
    <row r="237" spans="1:12" s="37" customFormat="1" x14ac:dyDescent="0.25">
      <c r="A237" s="30">
        <f>IF(F237&lt;&gt;"",1+MAX($A$7:A236),"")</f>
        <v>205</v>
      </c>
      <c r="B237" s="31"/>
      <c r="C237" s="37" t="s">
        <v>600</v>
      </c>
      <c r="D237" s="46">
        <f>6*49*1.667/27</f>
        <v>18.151777777777777</v>
      </c>
      <c r="E237" s="28">
        <v>0.1</v>
      </c>
      <c r="F237" s="32">
        <f t="shared" si="42"/>
        <v>19.966955555555558</v>
      </c>
      <c r="G237" s="29" t="s">
        <v>379</v>
      </c>
      <c r="H237" s="29"/>
      <c r="I237" s="29"/>
      <c r="J237" s="33"/>
      <c r="K237" s="34">
        <f t="shared" si="43"/>
        <v>0</v>
      </c>
      <c r="L237" s="35"/>
    </row>
    <row r="238" spans="1:12" s="37" customFormat="1" x14ac:dyDescent="0.25">
      <c r="A238" s="30">
        <f>IF(F238&lt;&gt;"",1+MAX($A$7:A237),"")</f>
        <v>206</v>
      </c>
      <c r="B238" s="31"/>
      <c r="C238" s="37" t="s">
        <v>601</v>
      </c>
      <c r="D238" s="46">
        <f>4*7.5*7.5*1.833/27</f>
        <v>15.275</v>
      </c>
      <c r="E238" s="28">
        <v>0.1</v>
      </c>
      <c r="F238" s="32">
        <f t="shared" si="42"/>
        <v>16.802500000000002</v>
      </c>
      <c r="G238" s="29" t="s">
        <v>379</v>
      </c>
      <c r="H238" s="29"/>
      <c r="I238" s="29"/>
      <c r="J238" s="33"/>
      <c r="K238" s="34">
        <f t="shared" si="43"/>
        <v>0</v>
      </c>
      <c r="L238" s="35"/>
    </row>
    <row r="239" spans="1:12" s="37" customFormat="1" x14ac:dyDescent="0.25">
      <c r="A239" s="30">
        <f>IF(F239&lt;&gt;"",1+MAX($A$7:A238),"")</f>
        <v>207</v>
      </c>
      <c r="B239" s="31"/>
      <c r="C239" s="37" t="s">
        <v>602</v>
      </c>
      <c r="D239" s="46">
        <f>5*8*8*1.833/27</f>
        <v>21.724444444444444</v>
      </c>
      <c r="E239" s="28">
        <v>0.1</v>
      </c>
      <c r="F239" s="32">
        <f t="shared" si="42"/>
        <v>23.896888888888892</v>
      </c>
      <c r="G239" s="29" t="s">
        <v>379</v>
      </c>
      <c r="H239" s="29"/>
      <c r="I239" s="29"/>
      <c r="J239" s="33"/>
      <c r="K239" s="34">
        <f t="shared" si="43"/>
        <v>0</v>
      </c>
      <c r="L239" s="35"/>
    </row>
    <row r="240" spans="1:12" s="37" customFormat="1" x14ac:dyDescent="0.25">
      <c r="A240" s="30">
        <f>IF(F240&lt;&gt;"",1+MAX($A$7:A239),"")</f>
        <v>208</v>
      </c>
      <c r="B240" s="31"/>
      <c r="C240" s="37" t="s">
        <v>603</v>
      </c>
      <c r="D240" s="46">
        <f>8*8.5*8.5*2/27</f>
        <v>42.814814814814817</v>
      </c>
      <c r="E240" s="28">
        <v>0.1</v>
      </c>
      <c r="F240" s="32">
        <f t="shared" si="42"/>
        <v>47.096296296296302</v>
      </c>
      <c r="G240" s="29" t="s">
        <v>379</v>
      </c>
      <c r="H240" s="29"/>
      <c r="I240" s="29"/>
      <c r="J240" s="33"/>
      <c r="K240" s="34">
        <f t="shared" si="43"/>
        <v>0</v>
      </c>
      <c r="L240" s="35"/>
    </row>
    <row r="241" spans="1:12" s="37" customFormat="1" x14ac:dyDescent="0.25">
      <c r="A241" s="30">
        <f>IF(F241&lt;&gt;"",1+MAX($A$7:A240),"")</f>
        <v>209</v>
      </c>
      <c r="B241" s="31"/>
      <c r="C241" s="37" t="s">
        <v>604</v>
      </c>
      <c r="D241" s="46">
        <f>9*9*9*2*(2/12)/27</f>
        <v>9</v>
      </c>
      <c r="E241" s="28">
        <v>0.1</v>
      </c>
      <c r="F241" s="32">
        <f t="shared" si="42"/>
        <v>9.9</v>
      </c>
      <c r="G241" s="29" t="s">
        <v>379</v>
      </c>
      <c r="H241" s="29"/>
      <c r="I241" s="29"/>
      <c r="J241" s="33"/>
      <c r="K241" s="34">
        <f t="shared" si="43"/>
        <v>0</v>
      </c>
      <c r="L241" s="35"/>
    </row>
    <row r="242" spans="1:12" s="37" customFormat="1" x14ac:dyDescent="0.25">
      <c r="A242" s="30">
        <f>IF(F242&lt;&gt;"",1+MAX($A$7:A241),"")</f>
        <v>210</v>
      </c>
      <c r="B242" s="31"/>
      <c r="C242" s="37" t="s">
        <v>605</v>
      </c>
      <c r="D242" s="46">
        <f>2*9.5*9.5*2*(2/12)/27</f>
        <v>2.2283950617283952</v>
      </c>
      <c r="E242" s="28">
        <v>0.1</v>
      </c>
      <c r="F242" s="32">
        <f t="shared" si="42"/>
        <v>2.4512345679012348</v>
      </c>
      <c r="G242" s="29" t="s">
        <v>379</v>
      </c>
      <c r="H242" s="29"/>
      <c r="I242" s="29"/>
      <c r="J242" s="33"/>
      <c r="K242" s="34">
        <f t="shared" si="43"/>
        <v>0</v>
      </c>
      <c r="L242" s="35"/>
    </row>
    <row r="243" spans="1:12" s="37" customFormat="1" x14ac:dyDescent="0.25">
      <c r="A243" s="30">
        <f>IF(F243&lt;&gt;"",1+MAX($A$7:A242),"")</f>
        <v>211</v>
      </c>
      <c r="B243" s="31"/>
      <c r="C243" s="37" t="s">
        <v>620</v>
      </c>
      <c r="D243" s="46">
        <f>139.8266*4*1/27</f>
        <v>20.715051851851854</v>
      </c>
      <c r="E243" s="28">
        <v>0.1</v>
      </c>
      <c r="F243" s="32">
        <f t="shared" ref="F243:F247" si="44">D243*(1+E243)</f>
        <v>22.786557037037042</v>
      </c>
      <c r="G243" s="29" t="s">
        <v>379</v>
      </c>
      <c r="H243" s="29"/>
      <c r="I243" s="29"/>
      <c r="J243" s="33"/>
      <c r="K243" s="34">
        <f t="shared" ref="K243:K247" si="45">J243*F243</f>
        <v>0</v>
      </c>
      <c r="L243" s="35"/>
    </row>
    <row r="244" spans="1:12" s="37" customFormat="1" x14ac:dyDescent="0.25">
      <c r="A244" s="30">
        <f>IF(F244&lt;&gt;"",1+MAX($A$7:A243),"")</f>
        <v>212</v>
      </c>
      <c r="B244" s="31"/>
      <c r="C244" s="37" t="s">
        <v>622</v>
      </c>
      <c r="D244" s="46">
        <f>8*1.33*40.3/27</f>
        <v>15.881185185185185</v>
      </c>
      <c r="E244" s="28">
        <v>0.1</v>
      </c>
      <c r="F244" s="32">
        <f t="shared" si="44"/>
        <v>17.469303703703705</v>
      </c>
      <c r="G244" s="29" t="s">
        <v>379</v>
      </c>
      <c r="H244" s="29"/>
      <c r="I244" s="29"/>
      <c r="J244" s="33"/>
      <c r="K244" s="34">
        <f t="shared" si="45"/>
        <v>0</v>
      </c>
      <c r="L244" s="35"/>
    </row>
    <row r="245" spans="1:12" s="37" customFormat="1" x14ac:dyDescent="0.25">
      <c r="A245" s="30">
        <f>IF(F245&lt;&gt;"",1+MAX($A$7:A244),"")</f>
        <v>213</v>
      </c>
      <c r="B245" s="31"/>
      <c r="C245" s="37" t="s">
        <v>623</v>
      </c>
      <c r="D245" s="46">
        <f>47*5.33*1/27</f>
        <v>9.2781481481481478</v>
      </c>
      <c r="E245" s="28">
        <v>0.1</v>
      </c>
      <c r="F245" s="32">
        <f t="shared" si="44"/>
        <v>10.205962962962964</v>
      </c>
      <c r="G245" s="29" t="s">
        <v>379</v>
      </c>
      <c r="H245" s="29"/>
      <c r="I245" s="29"/>
      <c r="J245" s="33"/>
      <c r="K245" s="34">
        <f t="shared" si="45"/>
        <v>0</v>
      </c>
      <c r="L245" s="35"/>
    </row>
    <row r="246" spans="1:12" s="37" customFormat="1" x14ac:dyDescent="0.25">
      <c r="A246" s="30">
        <f>IF(F246&lt;&gt;"",1+MAX($A$7:A245),"")</f>
        <v>214</v>
      </c>
      <c r="B246" s="31"/>
      <c r="C246" s="37" t="s">
        <v>624</v>
      </c>
      <c r="D246" s="46">
        <f>8.33*1*26.667/27</f>
        <v>8.2272633333333332</v>
      </c>
      <c r="E246" s="28">
        <v>0.1</v>
      </c>
      <c r="F246" s="32">
        <f t="shared" si="44"/>
        <v>9.0499896666666668</v>
      </c>
      <c r="G246" s="29" t="s">
        <v>379</v>
      </c>
      <c r="H246" s="29"/>
      <c r="I246" s="29"/>
      <c r="J246" s="33"/>
      <c r="K246" s="34">
        <f t="shared" si="45"/>
        <v>0</v>
      </c>
      <c r="L246" s="35"/>
    </row>
    <row r="247" spans="1:12" s="37" customFormat="1" x14ac:dyDescent="0.25">
      <c r="A247" s="30">
        <f>IF(F247&lt;&gt;"",1+MAX($A$7:A246),"")</f>
        <v>215</v>
      </c>
      <c r="B247" s="31"/>
      <c r="C247" s="37" t="s">
        <v>625</v>
      </c>
      <c r="D247" s="46">
        <f>3.33*1*72.833/27</f>
        <v>8.9827366666666677</v>
      </c>
      <c r="E247" s="28">
        <v>0.1</v>
      </c>
      <c r="F247" s="32">
        <f t="shared" si="44"/>
        <v>9.8810103333333359</v>
      </c>
      <c r="G247" s="29" t="s">
        <v>379</v>
      </c>
      <c r="H247" s="29"/>
      <c r="I247" s="29"/>
      <c r="J247" s="33"/>
      <c r="K247" s="34">
        <f t="shared" si="45"/>
        <v>0</v>
      </c>
      <c r="L247" s="35"/>
    </row>
    <row r="248" spans="1:12" s="37" customFormat="1" x14ac:dyDescent="0.25">
      <c r="A248" s="30" t="str">
        <f>IF(F248&lt;&gt;"",1+MAX($A$7:A247),"")</f>
        <v/>
      </c>
      <c r="B248" s="31"/>
      <c r="C248" s="50"/>
      <c r="D248" s="44"/>
      <c r="E248" s="28"/>
      <c r="F248" s="32"/>
      <c r="G248" s="29"/>
      <c r="H248" s="29"/>
      <c r="I248" s="29"/>
      <c r="J248" s="33"/>
      <c r="K248" s="34"/>
      <c r="L248" s="35"/>
    </row>
    <row r="249" spans="1:12" s="37" customFormat="1" x14ac:dyDescent="0.25">
      <c r="A249" s="30" t="str">
        <f>IF(F249&lt;&gt;"",1+MAX($A$7:A248),"")</f>
        <v/>
      </c>
      <c r="B249" s="31"/>
      <c r="C249" s="45" t="s">
        <v>606</v>
      </c>
      <c r="D249" s="44"/>
      <c r="E249" s="28"/>
      <c r="F249" s="32"/>
      <c r="G249" s="29"/>
      <c r="H249" s="29"/>
      <c r="I249" s="29"/>
      <c r="J249" s="33"/>
      <c r="K249" s="34"/>
      <c r="L249" s="35"/>
    </row>
    <row r="250" spans="1:12" s="37" customFormat="1" x14ac:dyDescent="0.25">
      <c r="A250" s="30">
        <f>IF(F250&lt;&gt;"",1+MAX($A$7:A249),"")</f>
        <v>216</v>
      </c>
      <c r="B250" s="31"/>
      <c r="C250" s="37" t="s">
        <v>610</v>
      </c>
      <c r="D250" s="46">
        <f>15*1.667*1.667*14.5/27</f>
        <v>22.385494722222219</v>
      </c>
      <c r="E250" s="28">
        <v>0.1</v>
      </c>
      <c r="F250" s="32">
        <f t="shared" ref="F250:F254" si="46">D250*(1+E250)</f>
        <v>24.624044194444444</v>
      </c>
      <c r="G250" s="29" t="s">
        <v>379</v>
      </c>
      <c r="H250" s="29"/>
      <c r="I250" s="29"/>
      <c r="J250" s="33"/>
      <c r="K250" s="34">
        <f t="shared" ref="K250:K254" si="47">J250*F250</f>
        <v>0</v>
      </c>
      <c r="L250" s="35"/>
    </row>
    <row r="251" spans="1:12" s="37" customFormat="1" x14ac:dyDescent="0.25">
      <c r="A251" s="30">
        <f>IF(F251&lt;&gt;"",1+MAX($A$7:A250),"")</f>
        <v>217</v>
      </c>
      <c r="B251" s="31"/>
      <c r="C251" s="37" t="s">
        <v>611</v>
      </c>
      <c r="D251" s="46">
        <f>9*2*2*14.5/27</f>
        <v>19.333333333333332</v>
      </c>
      <c r="E251" s="28">
        <v>0.1</v>
      </c>
      <c r="F251" s="32">
        <f t="shared" si="46"/>
        <v>21.266666666666666</v>
      </c>
      <c r="G251" s="29" t="s">
        <v>379</v>
      </c>
      <c r="H251" s="29"/>
      <c r="I251" s="29"/>
      <c r="J251" s="33"/>
      <c r="K251" s="34">
        <f t="shared" si="47"/>
        <v>0</v>
      </c>
      <c r="L251" s="35"/>
    </row>
    <row r="252" spans="1:12" s="37" customFormat="1" x14ac:dyDescent="0.25">
      <c r="A252" s="30">
        <f>IF(F252&lt;&gt;"",1+MAX($A$7:A251),"")</f>
        <v>218</v>
      </c>
      <c r="B252" s="31"/>
      <c r="C252" s="37" t="s">
        <v>612</v>
      </c>
      <c r="D252" s="46">
        <f>4*2.5*2.5*14.5/27</f>
        <v>13.425925925925926</v>
      </c>
      <c r="E252" s="28">
        <v>0.1</v>
      </c>
      <c r="F252" s="32">
        <f t="shared" si="46"/>
        <v>14.768518518518519</v>
      </c>
      <c r="G252" s="29" t="s">
        <v>379</v>
      </c>
      <c r="H252" s="29"/>
      <c r="I252" s="29"/>
      <c r="J252" s="33"/>
      <c r="K252" s="34">
        <f t="shared" si="47"/>
        <v>0</v>
      </c>
      <c r="L252" s="35"/>
    </row>
    <row r="253" spans="1:12" s="37" customFormat="1" x14ac:dyDescent="0.25">
      <c r="A253" s="30">
        <f>IF(F253&lt;&gt;"",1+MAX($A$7:A252),"")</f>
        <v>219</v>
      </c>
      <c r="B253" s="31"/>
      <c r="C253" s="37" t="s">
        <v>613</v>
      </c>
      <c r="D253" s="46">
        <f>10*2.667*2.667*14.5/27</f>
        <v>38.198848333333324</v>
      </c>
      <c r="E253" s="28">
        <v>0.1</v>
      </c>
      <c r="F253" s="32">
        <f t="shared" si="46"/>
        <v>42.018733166666657</v>
      </c>
      <c r="G253" s="29" t="s">
        <v>379</v>
      </c>
      <c r="H253" s="29"/>
      <c r="I253" s="29"/>
      <c r="J253" s="33"/>
      <c r="K253" s="34">
        <f t="shared" si="47"/>
        <v>0</v>
      </c>
      <c r="L253" s="35"/>
    </row>
    <row r="254" spans="1:12" s="37" customFormat="1" x14ac:dyDescent="0.25">
      <c r="A254" s="30">
        <f>IF(F254&lt;&gt;"",1+MAX($A$7:A253),"")</f>
        <v>220</v>
      </c>
      <c r="B254" s="31"/>
      <c r="C254" s="37" t="s">
        <v>614</v>
      </c>
      <c r="D254" s="46">
        <f>29*3*3*14.5/27</f>
        <v>140.16666666666666</v>
      </c>
      <c r="E254" s="28">
        <v>0.1</v>
      </c>
      <c r="F254" s="32">
        <f t="shared" si="46"/>
        <v>154.18333333333334</v>
      </c>
      <c r="G254" s="29" t="s">
        <v>379</v>
      </c>
      <c r="H254" s="29"/>
      <c r="I254" s="29"/>
      <c r="J254" s="33"/>
      <c r="K254" s="34">
        <f t="shared" si="47"/>
        <v>0</v>
      </c>
      <c r="L254" s="35"/>
    </row>
    <row r="255" spans="1:12" s="37" customFormat="1" x14ac:dyDescent="0.25">
      <c r="A255" s="30" t="str">
        <f>IF(F255&lt;&gt;"",1+MAX($A$7:A254),"")</f>
        <v/>
      </c>
      <c r="B255" s="31"/>
      <c r="C255" s="50"/>
      <c r="D255" s="44"/>
      <c r="E255" s="28"/>
      <c r="F255" s="32"/>
      <c r="G255" s="29"/>
      <c r="H255" s="29"/>
      <c r="I255" s="29"/>
      <c r="J255" s="33"/>
      <c r="K255" s="34"/>
      <c r="L255" s="35"/>
    </row>
    <row r="256" spans="1:12" s="37" customFormat="1" x14ac:dyDescent="0.25">
      <c r="A256" s="30" t="str">
        <f>IF(F256&lt;&gt;"",1+MAX($A$7:A255),"")</f>
        <v/>
      </c>
      <c r="B256" s="31"/>
      <c r="C256" s="45" t="s">
        <v>607</v>
      </c>
      <c r="D256" s="44"/>
      <c r="E256" s="28"/>
      <c r="F256" s="32"/>
      <c r="G256" s="29"/>
      <c r="H256" s="29"/>
      <c r="I256" s="29"/>
      <c r="J256" s="33"/>
      <c r="K256" s="34"/>
      <c r="L256" s="35"/>
    </row>
    <row r="257" spans="1:12" s="37" customFormat="1" x14ac:dyDescent="0.25">
      <c r="A257" s="30">
        <f>IF(F257&lt;&gt;"",1+MAX($A$7:A256),"")</f>
        <v>221</v>
      </c>
      <c r="B257" s="31"/>
      <c r="C257" s="37" t="s">
        <v>707</v>
      </c>
      <c r="D257" s="46">
        <f>39.1971*1*14.5/27+2</f>
        <v>23.050294444444443</v>
      </c>
      <c r="E257" s="28">
        <v>0.1</v>
      </c>
      <c r="F257" s="32">
        <f t="shared" ref="F257:F259" si="48">D257*(1+E257)</f>
        <v>25.35532388888889</v>
      </c>
      <c r="G257" s="29" t="s">
        <v>379</v>
      </c>
      <c r="H257" s="29"/>
      <c r="I257" s="29"/>
      <c r="J257" s="33"/>
      <c r="K257" s="34">
        <f t="shared" ref="K257:K259" si="49">J257*F257</f>
        <v>0</v>
      </c>
      <c r="L257" s="35"/>
    </row>
    <row r="258" spans="1:12" s="37" customFormat="1" x14ac:dyDescent="0.25">
      <c r="A258" s="30">
        <f>IF(F258&lt;&gt;"",1+MAX($A$7:A257),"")</f>
        <v>222</v>
      </c>
      <c r="B258" s="31"/>
      <c r="C258" s="37" t="s">
        <v>608</v>
      </c>
      <c r="D258" s="46">
        <f>852.9219*1.333*14.5/27</f>
        <v>610.58151645000009</v>
      </c>
      <c r="E258" s="28">
        <v>0.1</v>
      </c>
      <c r="F258" s="32">
        <f t="shared" si="48"/>
        <v>671.63966809500016</v>
      </c>
      <c r="G258" s="29" t="s">
        <v>379</v>
      </c>
      <c r="H258" s="29"/>
      <c r="I258" s="29"/>
      <c r="J258" s="33"/>
      <c r="K258" s="34">
        <f t="shared" si="49"/>
        <v>0</v>
      </c>
      <c r="L258" s="35"/>
    </row>
    <row r="259" spans="1:12" s="37" customFormat="1" x14ac:dyDescent="0.25">
      <c r="A259" s="30">
        <f>IF(F259&lt;&gt;"",1+MAX($A$7:A258),"")</f>
        <v>223</v>
      </c>
      <c r="B259" s="31"/>
      <c r="C259" s="37" t="s">
        <v>609</v>
      </c>
      <c r="D259" s="46">
        <f>95.8335*1.667*14.5/27</f>
        <v>85.794053527777777</v>
      </c>
      <c r="E259" s="28">
        <v>0.1</v>
      </c>
      <c r="F259" s="32">
        <f t="shared" si="48"/>
        <v>94.37345888055556</v>
      </c>
      <c r="G259" s="29" t="s">
        <v>379</v>
      </c>
      <c r="H259" s="29"/>
      <c r="I259" s="29"/>
      <c r="J259" s="33"/>
      <c r="K259" s="34">
        <f t="shared" si="49"/>
        <v>0</v>
      </c>
      <c r="L259" s="35"/>
    </row>
    <row r="260" spans="1:12" s="37" customFormat="1" x14ac:dyDescent="0.25">
      <c r="A260" s="30" t="str">
        <f>IF(F260&lt;&gt;"",1+MAX($A$7:A259),"")</f>
        <v/>
      </c>
      <c r="B260" s="31"/>
      <c r="C260" s="37" t="s">
        <v>621</v>
      </c>
      <c r="D260" s="46">
        <f>4*1.5*140/27+9*1.5*40.3/27</f>
        <v>51.261111111111106</v>
      </c>
      <c r="E260" s="28"/>
      <c r="F260" s="32"/>
      <c r="G260" s="29"/>
      <c r="H260" s="29"/>
      <c r="I260" s="29"/>
      <c r="J260" s="33"/>
      <c r="K260" s="34"/>
      <c r="L260" s="35"/>
    </row>
    <row r="261" spans="1:12" s="37" customFormat="1" x14ac:dyDescent="0.25">
      <c r="A261" s="30" t="str">
        <f>IF(F261&lt;&gt;"",1+MAX($A$7:A260),"")</f>
        <v/>
      </c>
      <c r="B261" s="31"/>
      <c r="D261" s="46"/>
      <c r="E261" s="28"/>
      <c r="F261" s="32"/>
      <c r="G261" s="29"/>
      <c r="H261" s="29"/>
      <c r="I261" s="29"/>
      <c r="J261" s="33"/>
      <c r="K261" s="34"/>
      <c r="L261" s="35"/>
    </row>
    <row r="262" spans="1:12" s="37" customFormat="1" x14ac:dyDescent="0.25">
      <c r="A262" s="30" t="str">
        <f>IF(F262&lt;&gt;"",1+MAX($A$7:A261),"")</f>
        <v/>
      </c>
      <c r="B262" s="31"/>
      <c r="C262" s="45" t="s">
        <v>586</v>
      </c>
      <c r="D262" s="103"/>
      <c r="E262" s="28"/>
      <c r="F262" s="32"/>
      <c r="G262" s="29"/>
      <c r="H262" s="29"/>
      <c r="I262" s="29"/>
      <c r="J262" s="33"/>
      <c r="K262" s="34"/>
      <c r="L262" s="35"/>
    </row>
    <row r="263" spans="1:12" s="37" customFormat="1" x14ac:dyDescent="0.25">
      <c r="A263" s="30">
        <f>IF(F263&lt;&gt;"",1+MAX($A$7:A262),"")</f>
        <v>224</v>
      </c>
      <c r="B263" s="31"/>
      <c r="C263" s="37" t="s">
        <v>941</v>
      </c>
      <c r="D263" s="46">
        <v>39948.92</v>
      </c>
      <c r="E263" s="28">
        <v>0.1</v>
      </c>
      <c r="F263" s="32">
        <f t="shared" ref="F263" si="50">D263*(1+E263)</f>
        <v>43943.811999999998</v>
      </c>
      <c r="G263" s="29" t="s">
        <v>275</v>
      </c>
      <c r="H263" s="29"/>
      <c r="I263" s="29"/>
      <c r="J263" s="33"/>
      <c r="K263" s="34">
        <f t="shared" ref="K263" si="51">J263*F263</f>
        <v>0</v>
      </c>
      <c r="L263" s="35"/>
    </row>
    <row r="264" spans="1:12" s="37" customFormat="1" x14ac:dyDescent="0.25">
      <c r="A264" s="30">
        <f>IF(F264&lt;&gt;"",1+MAX($A$7:A263),"")</f>
        <v>225</v>
      </c>
      <c r="B264" s="31"/>
      <c r="C264" s="37" t="s">
        <v>708</v>
      </c>
      <c r="D264" s="46">
        <v>361.99</v>
      </c>
      <c r="E264" s="28">
        <v>0.1</v>
      </c>
      <c r="F264" s="32">
        <f t="shared" ref="F264:F265" si="52">D264*(1+E264)</f>
        <v>398.18900000000002</v>
      </c>
      <c r="G264" s="29" t="s">
        <v>275</v>
      </c>
      <c r="H264" s="29"/>
      <c r="I264" s="29"/>
      <c r="J264" s="33"/>
      <c r="K264" s="34">
        <f t="shared" ref="K264:K265" si="53">J264*F264</f>
        <v>0</v>
      </c>
      <c r="L264" s="35"/>
    </row>
    <row r="265" spans="1:12" s="37" customFormat="1" x14ac:dyDescent="0.25">
      <c r="A265" s="30">
        <f>IF(F265&lt;&gt;"",1+MAX($A$7:A264),"")</f>
        <v>226</v>
      </c>
      <c r="B265" s="31"/>
      <c r="C265" s="37" t="s">
        <v>866</v>
      </c>
      <c r="D265" s="46">
        <f>5263.18+4750.9</f>
        <v>10014.08</v>
      </c>
      <c r="E265" s="28">
        <v>0.1</v>
      </c>
      <c r="F265" s="32">
        <f t="shared" si="52"/>
        <v>11015.488000000001</v>
      </c>
      <c r="G265" s="29" t="s">
        <v>275</v>
      </c>
      <c r="H265" s="29"/>
      <c r="I265" s="29"/>
      <c r="J265" s="33"/>
      <c r="K265" s="34">
        <f t="shared" si="53"/>
        <v>0</v>
      </c>
      <c r="L265" s="35"/>
    </row>
    <row r="266" spans="1:12" s="37" customFormat="1" x14ac:dyDescent="0.25">
      <c r="A266" s="30">
        <f>IF(F266&lt;&gt;"",1+MAX($A$7:A265),"")</f>
        <v>227</v>
      </c>
      <c r="B266" s="31"/>
      <c r="C266" s="37" t="s">
        <v>629</v>
      </c>
      <c r="D266" s="46">
        <f>31490+1998+5196</f>
        <v>38684</v>
      </c>
      <c r="E266" s="28">
        <v>0.1</v>
      </c>
      <c r="F266" s="32">
        <f t="shared" ref="F266" si="54">D266*(1+E266)</f>
        <v>42552.4</v>
      </c>
      <c r="G266" s="29" t="s">
        <v>275</v>
      </c>
      <c r="H266" s="29"/>
      <c r="I266" s="29"/>
      <c r="J266" s="33"/>
      <c r="K266" s="34">
        <f t="shared" ref="K266" si="55">J266*F266</f>
        <v>0</v>
      </c>
      <c r="L266" s="35"/>
    </row>
    <row r="267" spans="1:12" s="37" customFormat="1" x14ac:dyDescent="0.25">
      <c r="A267" s="30" t="str">
        <f>IF(F267&lt;&gt;"",1+MAX($A$7:A266),"")</f>
        <v/>
      </c>
      <c r="B267" s="31"/>
      <c r="D267" s="46"/>
      <c r="E267" s="28"/>
      <c r="F267" s="32"/>
      <c r="G267" s="29"/>
      <c r="H267" s="29"/>
      <c r="I267" s="29"/>
      <c r="J267" s="33"/>
      <c r="K267" s="34"/>
      <c r="L267" s="35"/>
    </row>
    <row r="268" spans="1:12" s="37" customFormat="1" x14ac:dyDescent="0.25">
      <c r="A268" s="30" t="str">
        <f>IF(F268&lt;&gt;"",1+MAX($A$7:A267),"")</f>
        <v/>
      </c>
      <c r="B268" s="31"/>
      <c r="C268" s="45" t="s">
        <v>616</v>
      </c>
      <c r="D268" s="103"/>
      <c r="E268" s="28"/>
      <c r="F268" s="32"/>
      <c r="G268" s="29"/>
      <c r="H268" s="29"/>
      <c r="I268" s="29"/>
      <c r="J268" s="33"/>
      <c r="K268" s="34"/>
      <c r="L268" s="35"/>
    </row>
    <row r="269" spans="1:12" s="37" customFormat="1" x14ac:dyDescent="0.25">
      <c r="A269" s="30">
        <f>IF(F269&lt;&gt;"",1+MAX($A$7:A268),"")</f>
        <v>228</v>
      </c>
      <c r="B269" s="31"/>
      <c r="C269" s="50" t="s">
        <v>617</v>
      </c>
      <c r="D269" s="103">
        <v>297</v>
      </c>
      <c r="E269" s="28">
        <v>0</v>
      </c>
      <c r="F269" s="32">
        <f t="shared" ref="F269" si="56">D269*(1+E269)</f>
        <v>297</v>
      </c>
      <c r="G269" s="29" t="s">
        <v>66</v>
      </c>
      <c r="H269" s="29"/>
      <c r="I269" s="29"/>
      <c r="J269" s="33"/>
      <c r="K269" s="34">
        <f t="shared" ref="K269" si="57">J269*F269</f>
        <v>0</v>
      </c>
      <c r="L269" s="35"/>
    </row>
    <row r="270" spans="1:12" s="37" customFormat="1" ht="15.75" thickBot="1" x14ac:dyDescent="0.3">
      <c r="A270" s="30" t="str">
        <f>IF(F270&lt;&gt;"",1+MAX($A$7:A269),"")</f>
        <v/>
      </c>
      <c r="B270" s="31"/>
      <c r="C270" s="45"/>
      <c r="D270" s="103"/>
      <c r="E270" s="28"/>
      <c r="F270" s="32"/>
      <c r="G270" s="29"/>
      <c r="H270" s="29"/>
      <c r="I270" s="29"/>
      <c r="J270" s="33"/>
      <c r="K270" s="34"/>
      <c r="L270" s="35"/>
    </row>
    <row r="271" spans="1:12" ht="15.75" thickBot="1" x14ac:dyDescent="0.3">
      <c r="A271" s="99" t="str">
        <f>IF(F271&lt;&gt;"",1+MAX($A$7:A270),"")</f>
        <v/>
      </c>
      <c r="B271" s="7" t="s">
        <v>46</v>
      </c>
      <c r="C271" s="48" t="s">
        <v>45</v>
      </c>
      <c r="D271" s="102"/>
      <c r="E271" s="8"/>
      <c r="F271" s="8"/>
      <c r="G271" s="7"/>
      <c r="H271" s="7"/>
      <c r="I271" s="7"/>
      <c r="J271" s="25"/>
      <c r="K271" s="21"/>
      <c r="L271" s="9">
        <f>SUM(K272:K276)</f>
        <v>0</v>
      </c>
    </row>
    <row r="272" spans="1:12" s="6" customFormat="1" x14ac:dyDescent="0.25">
      <c r="A272" s="30" t="str">
        <f>IF(F272&lt;&gt;"",1+MAX($A$7:A271),"")</f>
        <v/>
      </c>
      <c r="B272" s="11"/>
      <c r="C272" s="47"/>
      <c r="D272" s="101"/>
      <c r="E272" s="3"/>
      <c r="F272" s="1"/>
      <c r="G272" s="4"/>
      <c r="H272" s="4"/>
      <c r="I272" s="4"/>
      <c r="J272" s="24"/>
      <c r="K272" s="20"/>
      <c r="L272" s="5"/>
    </row>
    <row r="273" spans="1:12" s="6" customFormat="1" x14ac:dyDescent="0.25">
      <c r="A273" s="30" t="str">
        <f>IF(F273&lt;&gt;"",1+MAX($A$7:A272),"")</f>
        <v/>
      </c>
      <c r="B273" s="11"/>
      <c r="C273" s="45" t="s">
        <v>271</v>
      </c>
      <c r="D273" s="101"/>
      <c r="E273" s="3"/>
      <c r="F273" s="1"/>
      <c r="G273" s="4"/>
      <c r="H273" s="4"/>
      <c r="I273" s="4"/>
      <c r="J273" s="24"/>
      <c r="K273" s="20"/>
      <c r="L273" s="5"/>
    </row>
    <row r="274" spans="1:12" s="37" customFormat="1" x14ac:dyDescent="0.25">
      <c r="A274" s="30">
        <f>IF(F274&lt;&gt;"",1+MAX($A$7:A273),"")</f>
        <v>229</v>
      </c>
      <c r="B274" s="31"/>
      <c r="C274" s="43" t="s">
        <v>1110</v>
      </c>
      <c r="D274" s="44">
        <f>1703.28*14+7.4*14+277.4*14</f>
        <v>27833.119999999995</v>
      </c>
      <c r="E274" s="28">
        <v>0.1</v>
      </c>
      <c r="F274" s="32">
        <f t="shared" ref="F274" si="58">D274*(1+E274)</f>
        <v>30616.431999999997</v>
      </c>
      <c r="G274" s="29" t="s">
        <v>275</v>
      </c>
      <c r="H274" s="29"/>
      <c r="I274" s="29"/>
      <c r="J274" s="33"/>
      <c r="K274" s="34">
        <f>J274*F274</f>
        <v>0</v>
      </c>
      <c r="L274" s="35"/>
    </row>
    <row r="275" spans="1:12" s="37" customFormat="1" x14ac:dyDescent="0.25">
      <c r="A275" s="30">
        <f>IF(F275&lt;&gt;"",1+MAX($A$7:A274),"")</f>
        <v>230</v>
      </c>
      <c r="B275" s="31"/>
      <c r="C275" s="43" t="s">
        <v>1111</v>
      </c>
      <c r="D275" s="44">
        <f>195*14</f>
        <v>2730</v>
      </c>
      <c r="E275" s="28">
        <v>0.1</v>
      </c>
      <c r="F275" s="32">
        <f t="shared" ref="F275" si="59">D275*(1+E275)</f>
        <v>3003.0000000000005</v>
      </c>
      <c r="G275" s="29" t="s">
        <v>275</v>
      </c>
      <c r="H275" s="29"/>
      <c r="I275" s="29"/>
      <c r="J275" s="33"/>
      <c r="K275" s="34">
        <f>J275*F275</f>
        <v>0</v>
      </c>
      <c r="L275" s="35"/>
    </row>
    <row r="276" spans="1:12" s="37" customFormat="1" ht="15.75" thickBot="1" x14ac:dyDescent="0.3">
      <c r="A276" s="30" t="str">
        <f>IF(F276&lt;&gt;"",1+MAX($A$7:A275),"")</f>
        <v/>
      </c>
      <c r="B276" s="31"/>
      <c r="C276" s="43"/>
      <c r="D276" s="44"/>
      <c r="E276" s="28"/>
      <c r="F276" s="32"/>
      <c r="G276" s="29"/>
      <c r="H276" s="29"/>
      <c r="I276" s="29"/>
      <c r="J276" s="33"/>
      <c r="K276" s="34"/>
      <c r="L276" s="35"/>
    </row>
    <row r="277" spans="1:12" ht="15.75" thickBot="1" x14ac:dyDescent="0.3">
      <c r="A277" s="99" t="str">
        <f>IF(F277&lt;&gt;"",1+MAX($A$7:A276),"")</f>
        <v/>
      </c>
      <c r="B277" s="7" t="s">
        <v>47</v>
      </c>
      <c r="C277" s="48" t="s">
        <v>33</v>
      </c>
      <c r="D277" s="102"/>
      <c r="E277" s="8"/>
      <c r="F277" s="8"/>
      <c r="G277" s="7"/>
      <c r="H277" s="7"/>
      <c r="I277" s="7"/>
      <c r="J277" s="25"/>
      <c r="K277" s="21"/>
      <c r="L277" s="9">
        <f>SUM(K278:K393)</f>
        <v>0</v>
      </c>
    </row>
    <row r="278" spans="1:12" s="6" customFormat="1" x14ac:dyDescent="0.25">
      <c r="A278" s="30" t="str">
        <f>IF(F278&lt;&gt;"",1+MAX($A$7:A277),"")</f>
        <v/>
      </c>
      <c r="B278" s="11"/>
      <c r="C278" s="47"/>
      <c r="D278" s="101"/>
      <c r="E278" s="3"/>
      <c r="F278" s="1"/>
      <c r="G278" s="4"/>
      <c r="H278" s="4"/>
      <c r="I278" s="4"/>
      <c r="J278" s="24"/>
      <c r="K278" s="20"/>
      <c r="L278" s="5"/>
    </row>
    <row r="279" spans="1:12" s="37" customFormat="1" x14ac:dyDescent="0.25">
      <c r="A279" s="30" t="str">
        <f>IF(F279&lt;&gt;"",1+MAX($A$7:A278),"")</f>
        <v/>
      </c>
      <c r="B279" s="31"/>
      <c r="C279" s="45" t="s">
        <v>615</v>
      </c>
      <c r="D279" s="103"/>
      <c r="E279" s="28"/>
      <c r="F279" s="32"/>
      <c r="G279" s="29"/>
      <c r="H279" s="29"/>
      <c r="I279" s="29"/>
      <c r="J279" s="33"/>
      <c r="K279" s="34"/>
      <c r="L279" s="35"/>
    </row>
    <row r="280" spans="1:12" s="37" customFormat="1" x14ac:dyDescent="0.25">
      <c r="A280" s="30">
        <f>IF(F280&lt;&gt;"",1+MAX($A$7:A279),"")</f>
        <v>231</v>
      </c>
      <c r="B280" s="31"/>
      <c r="C280" s="37" t="s">
        <v>1116</v>
      </c>
      <c r="D280" s="46">
        <f>171*14</f>
        <v>2394</v>
      </c>
      <c r="E280" s="28">
        <v>0.1</v>
      </c>
      <c r="F280" s="32">
        <f t="shared" ref="F280:F287" si="60">D280*(1+E280)</f>
        <v>2633.4</v>
      </c>
      <c r="G280" s="29" t="s">
        <v>65</v>
      </c>
      <c r="H280" s="29"/>
      <c r="I280" s="29"/>
      <c r="J280" s="33"/>
      <c r="K280" s="34">
        <f>J280*F280</f>
        <v>0</v>
      </c>
      <c r="L280" s="35"/>
    </row>
    <row r="281" spans="1:12" s="37" customFormat="1" x14ac:dyDescent="0.25">
      <c r="A281" s="30">
        <f>IF(F281&lt;&gt;"",1+MAX($A$7:A280),"")</f>
        <v>232</v>
      </c>
      <c r="B281" s="31"/>
      <c r="C281" s="37" t="s">
        <v>1117</v>
      </c>
      <c r="D281" s="46">
        <f>24*14</f>
        <v>336</v>
      </c>
      <c r="E281" s="28">
        <v>0.1</v>
      </c>
      <c r="F281" s="32">
        <f t="shared" si="60"/>
        <v>369.6</v>
      </c>
      <c r="G281" s="29" t="s">
        <v>65</v>
      </c>
      <c r="H281" s="29"/>
      <c r="I281" s="29"/>
      <c r="J281" s="33"/>
      <c r="K281" s="34">
        <f t="shared" ref="K281:K287" si="61">J281*F281</f>
        <v>0</v>
      </c>
      <c r="L281" s="35"/>
    </row>
    <row r="282" spans="1:12" s="37" customFormat="1" x14ac:dyDescent="0.25">
      <c r="A282" s="30">
        <f>IF(F282&lt;&gt;"",1+MAX($A$7:A281),"")</f>
        <v>233</v>
      </c>
      <c r="B282" s="31"/>
      <c r="C282" s="37" t="s">
        <v>1102</v>
      </c>
      <c r="D282" s="46">
        <f>5*14</f>
        <v>70</v>
      </c>
      <c r="E282" s="28">
        <v>0.1</v>
      </c>
      <c r="F282" s="32">
        <f t="shared" si="60"/>
        <v>77</v>
      </c>
      <c r="G282" s="29" t="s">
        <v>65</v>
      </c>
      <c r="H282" s="29"/>
      <c r="I282" s="29"/>
      <c r="J282" s="33"/>
      <c r="K282" s="34">
        <f t="shared" si="61"/>
        <v>0</v>
      </c>
      <c r="L282" s="35"/>
    </row>
    <row r="283" spans="1:12" s="37" customFormat="1" x14ac:dyDescent="0.25">
      <c r="A283" s="30">
        <f>IF(F283&lt;&gt;"",1+MAX($A$7:A282),"")</f>
        <v>234</v>
      </c>
      <c r="B283" s="31"/>
      <c r="C283" s="37" t="s">
        <v>1103</v>
      </c>
      <c r="D283" s="46">
        <v>14</v>
      </c>
      <c r="E283" s="28">
        <v>0.1</v>
      </c>
      <c r="F283" s="32">
        <f t="shared" si="60"/>
        <v>15.400000000000002</v>
      </c>
      <c r="G283" s="29" t="s">
        <v>65</v>
      </c>
      <c r="H283" s="29"/>
      <c r="I283" s="29"/>
      <c r="J283" s="33"/>
      <c r="K283" s="34">
        <f t="shared" si="61"/>
        <v>0</v>
      </c>
      <c r="L283" s="35"/>
    </row>
    <row r="284" spans="1:12" s="37" customFormat="1" x14ac:dyDescent="0.25">
      <c r="A284" s="30">
        <f>IF(F284&lt;&gt;"",1+MAX($A$7:A283),"")</f>
        <v>235</v>
      </c>
      <c r="B284" s="31"/>
      <c r="C284" s="37" t="s">
        <v>1104</v>
      </c>
      <c r="D284" s="46">
        <f>4*14</f>
        <v>56</v>
      </c>
      <c r="E284" s="28">
        <v>0.1</v>
      </c>
      <c r="F284" s="32">
        <f t="shared" si="60"/>
        <v>61.600000000000009</v>
      </c>
      <c r="G284" s="29" t="s">
        <v>65</v>
      </c>
      <c r="H284" s="29"/>
      <c r="I284" s="29"/>
      <c r="J284" s="33"/>
      <c r="K284" s="34">
        <f t="shared" si="61"/>
        <v>0</v>
      </c>
      <c r="L284" s="35"/>
    </row>
    <row r="285" spans="1:12" s="37" customFormat="1" x14ac:dyDescent="0.25">
      <c r="A285" s="30">
        <f>IF(F285&lt;&gt;"",1+MAX($A$7:A284),"")</f>
        <v>236</v>
      </c>
      <c r="B285" s="31"/>
      <c r="C285" s="37" t="s">
        <v>1105</v>
      </c>
      <c r="D285" s="46">
        <f>4*14</f>
        <v>56</v>
      </c>
      <c r="E285" s="28">
        <v>0.1</v>
      </c>
      <c r="F285" s="32">
        <f t="shared" si="60"/>
        <v>61.600000000000009</v>
      </c>
      <c r="G285" s="29" t="s">
        <v>65</v>
      </c>
      <c r="H285" s="29"/>
      <c r="I285" s="29"/>
      <c r="J285" s="33"/>
      <c r="K285" s="34">
        <f t="shared" si="61"/>
        <v>0</v>
      </c>
      <c r="L285" s="35"/>
    </row>
    <row r="286" spans="1:12" s="37" customFormat="1" x14ac:dyDescent="0.25">
      <c r="A286" s="30">
        <f>IF(F286&lt;&gt;"",1+MAX($A$7:A285),"")</f>
        <v>237</v>
      </c>
      <c r="B286" s="31"/>
      <c r="C286" s="37" t="s">
        <v>1106</v>
      </c>
      <c r="D286" s="46">
        <f>8*14</f>
        <v>112</v>
      </c>
      <c r="E286" s="28">
        <v>0.1</v>
      </c>
      <c r="F286" s="32">
        <f t="shared" si="60"/>
        <v>123.20000000000002</v>
      </c>
      <c r="G286" s="29" t="s">
        <v>65</v>
      </c>
      <c r="H286" s="29"/>
      <c r="I286" s="29"/>
      <c r="J286" s="33"/>
      <c r="K286" s="34">
        <f t="shared" si="61"/>
        <v>0</v>
      </c>
      <c r="L286" s="35"/>
    </row>
    <row r="287" spans="1:12" s="37" customFormat="1" x14ac:dyDescent="0.25">
      <c r="A287" s="30">
        <f>IF(F287&lt;&gt;"",1+MAX($A$7:A286),"")</f>
        <v>238</v>
      </c>
      <c r="B287" s="31"/>
      <c r="C287" s="37" t="s">
        <v>1095</v>
      </c>
      <c r="D287" s="46">
        <f>6*14</f>
        <v>84</v>
      </c>
      <c r="E287" s="28">
        <v>0.1</v>
      </c>
      <c r="F287" s="32">
        <f t="shared" si="60"/>
        <v>92.4</v>
      </c>
      <c r="G287" s="29" t="s">
        <v>65</v>
      </c>
      <c r="H287" s="29"/>
      <c r="I287" s="29"/>
      <c r="J287" s="33"/>
      <c r="K287" s="34">
        <f t="shared" si="61"/>
        <v>0</v>
      </c>
      <c r="L287" s="35"/>
    </row>
    <row r="288" spans="1:12" s="37" customFormat="1" x14ac:dyDescent="0.25">
      <c r="A288" s="30" t="str">
        <f>IF(F288&lt;&gt;"",1+MAX($A$7:A287),"")</f>
        <v/>
      </c>
      <c r="B288" s="31"/>
      <c r="D288" s="46"/>
      <c r="E288" s="28"/>
      <c r="F288" s="32"/>
      <c r="G288" s="29"/>
      <c r="H288" s="29"/>
      <c r="I288" s="29"/>
      <c r="J288" s="33"/>
      <c r="K288" s="34"/>
      <c r="L288" s="35"/>
    </row>
    <row r="289" spans="1:12" s="37" customFormat="1" x14ac:dyDescent="0.25">
      <c r="A289" s="30" t="str">
        <f>IF(F289&lt;&gt;"",1+MAX($A$7:A288),"")</f>
        <v/>
      </c>
      <c r="B289" s="31"/>
      <c r="C289" s="45" t="s">
        <v>626</v>
      </c>
      <c r="D289" s="46"/>
      <c r="E289" s="28"/>
      <c r="F289" s="32"/>
      <c r="G289" s="29"/>
      <c r="H289" s="29"/>
      <c r="I289" s="29"/>
      <c r="J289" s="33"/>
      <c r="K289" s="34"/>
      <c r="L289" s="35"/>
    </row>
    <row r="290" spans="1:12" s="37" customFormat="1" x14ac:dyDescent="0.25">
      <c r="A290" s="30">
        <f>IF(F290&lt;&gt;"",1+MAX($A$7:A289),"")</f>
        <v>239</v>
      </c>
      <c r="B290" s="31"/>
      <c r="C290" s="37" t="s">
        <v>1081</v>
      </c>
      <c r="D290" s="46">
        <v>93.33</v>
      </c>
      <c r="E290" s="28">
        <v>0.1</v>
      </c>
      <c r="F290" s="32">
        <f t="shared" ref="F290:F352" si="62">D290*(1+E290)</f>
        <v>102.66300000000001</v>
      </c>
      <c r="G290" s="29" t="s">
        <v>65</v>
      </c>
      <c r="H290" s="29"/>
      <c r="I290" s="29"/>
      <c r="J290" s="33"/>
      <c r="K290" s="34">
        <f t="shared" ref="K290:K352" si="63">J290*F290</f>
        <v>0</v>
      </c>
      <c r="L290" s="35"/>
    </row>
    <row r="291" spans="1:12" s="37" customFormat="1" x14ac:dyDescent="0.25">
      <c r="A291" s="30">
        <f>IF(F291&lt;&gt;"",1+MAX($A$7:A290),"")</f>
        <v>240</v>
      </c>
      <c r="B291" s="31"/>
      <c r="C291" s="37" t="s">
        <v>1091</v>
      </c>
      <c r="D291" s="46">
        <v>248.43</v>
      </c>
      <c r="E291" s="28">
        <v>0.1</v>
      </c>
      <c r="F291" s="32">
        <f t="shared" si="62"/>
        <v>273.27300000000002</v>
      </c>
      <c r="G291" s="29" t="s">
        <v>65</v>
      </c>
      <c r="H291" s="29"/>
      <c r="I291" s="29"/>
      <c r="J291" s="33"/>
      <c r="K291" s="34">
        <f t="shared" si="63"/>
        <v>0</v>
      </c>
      <c r="L291" s="35"/>
    </row>
    <row r="292" spans="1:12" s="37" customFormat="1" x14ac:dyDescent="0.25">
      <c r="A292" s="30">
        <f>IF(F292&lt;&gt;"",1+MAX($A$7:A291),"")</f>
        <v>241</v>
      </c>
      <c r="B292" s="31"/>
      <c r="C292" s="37" t="s">
        <v>709</v>
      </c>
      <c r="D292" s="46">
        <v>10.1127</v>
      </c>
      <c r="E292" s="28">
        <v>0.1</v>
      </c>
      <c r="F292" s="32">
        <f t="shared" si="62"/>
        <v>11.123970000000002</v>
      </c>
      <c r="G292" s="29" t="s">
        <v>65</v>
      </c>
      <c r="H292" s="29"/>
      <c r="I292" s="29"/>
      <c r="J292" s="33"/>
      <c r="K292" s="34">
        <f t="shared" si="63"/>
        <v>0</v>
      </c>
      <c r="L292" s="35"/>
    </row>
    <row r="293" spans="1:12" s="37" customFormat="1" x14ac:dyDescent="0.25">
      <c r="A293" s="30">
        <f>IF(F293&lt;&gt;"",1+MAX($A$7:A292),"")</f>
        <v>242</v>
      </c>
      <c r="B293" s="31"/>
      <c r="C293" s="37" t="s">
        <v>867</v>
      </c>
      <c r="D293" s="46">
        <v>36.769089999999998</v>
      </c>
      <c r="E293" s="28">
        <v>0.1</v>
      </c>
      <c r="F293" s="32">
        <f t="shared" si="62"/>
        <v>40.445999</v>
      </c>
      <c r="G293" s="29" t="s">
        <v>65</v>
      </c>
      <c r="H293" s="29"/>
      <c r="I293" s="29"/>
      <c r="J293" s="33"/>
      <c r="K293" s="34">
        <f t="shared" si="63"/>
        <v>0</v>
      </c>
      <c r="L293" s="35"/>
    </row>
    <row r="294" spans="1:12" s="37" customFormat="1" x14ac:dyDescent="0.25">
      <c r="A294" s="30">
        <f>IF(F294&lt;&gt;"",1+MAX($A$7:A293),"")</f>
        <v>243</v>
      </c>
      <c r="B294" s="31"/>
      <c r="C294" s="37" t="s">
        <v>1008</v>
      </c>
      <c r="D294" s="46">
        <v>93.685940000000002</v>
      </c>
      <c r="E294" s="28">
        <v>0.1</v>
      </c>
      <c r="F294" s="32">
        <f t="shared" si="62"/>
        <v>103.054534</v>
      </c>
      <c r="G294" s="29" t="s">
        <v>65</v>
      </c>
      <c r="H294" s="29"/>
      <c r="I294" s="29"/>
      <c r="J294" s="33"/>
      <c r="K294" s="34">
        <f t="shared" si="63"/>
        <v>0</v>
      </c>
      <c r="L294" s="35"/>
    </row>
    <row r="295" spans="1:12" s="37" customFormat="1" x14ac:dyDescent="0.25">
      <c r="A295" s="30">
        <f>IF(F295&lt;&gt;"",1+MAX($A$7:A294),"")</f>
        <v>244</v>
      </c>
      <c r="B295" s="31"/>
      <c r="C295" s="37" t="s">
        <v>710</v>
      </c>
      <c r="D295" s="46">
        <v>13.837339999999999</v>
      </c>
      <c r="E295" s="28">
        <v>0.1</v>
      </c>
      <c r="F295" s="32">
        <f t="shared" si="62"/>
        <v>15.221074</v>
      </c>
      <c r="G295" s="29" t="s">
        <v>65</v>
      </c>
      <c r="H295" s="29"/>
      <c r="I295" s="29"/>
      <c r="J295" s="33"/>
      <c r="K295" s="34">
        <f t="shared" si="63"/>
        <v>0</v>
      </c>
      <c r="L295" s="35"/>
    </row>
    <row r="296" spans="1:12" s="37" customFormat="1" x14ac:dyDescent="0.25">
      <c r="A296" s="30">
        <f>IF(F296&lt;&gt;"",1+MAX($A$7:A295),"")</f>
        <v>245</v>
      </c>
      <c r="B296" s="31"/>
      <c r="C296" s="37" t="s">
        <v>942</v>
      </c>
      <c r="D296" s="46">
        <v>120.879</v>
      </c>
      <c r="E296" s="28">
        <v>0.1</v>
      </c>
      <c r="F296" s="32">
        <f t="shared" si="62"/>
        <v>132.96690000000001</v>
      </c>
      <c r="G296" s="29" t="s">
        <v>65</v>
      </c>
      <c r="H296" s="29"/>
      <c r="I296" s="29"/>
      <c r="J296" s="33"/>
      <c r="K296" s="34">
        <f t="shared" si="63"/>
        <v>0</v>
      </c>
      <c r="L296" s="35"/>
    </row>
    <row r="297" spans="1:12" s="37" customFormat="1" x14ac:dyDescent="0.25">
      <c r="A297" s="30">
        <f>IF(F297&lt;&gt;"",1+MAX($A$7:A296),"")</f>
        <v>246</v>
      </c>
      <c r="B297" s="31"/>
      <c r="C297" s="37" t="s">
        <v>1009</v>
      </c>
      <c r="D297" s="46">
        <v>122.074</v>
      </c>
      <c r="E297" s="28">
        <v>0.1</v>
      </c>
      <c r="F297" s="32">
        <f t="shared" si="62"/>
        <v>134.28140000000002</v>
      </c>
      <c r="G297" s="29" t="s">
        <v>65</v>
      </c>
      <c r="H297" s="29"/>
      <c r="I297" s="29"/>
      <c r="J297" s="33"/>
      <c r="K297" s="34">
        <f t="shared" si="63"/>
        <v>0</v>
      </c>
      <c r="L297" s="35"/>
    </row>
    <row r="298" spans="1:12" s="37" customFormat="1" x14ac:dyDescent="0.25">
      <c r="A298" s="30">
        <f>IF(F298&lt;&gt;"",1+MAX($A$7:A297),"")</f>
        <v>247</v>
      </c>
      <c r="B298" s="31"/>
      <c r="C298" s="37" t="s">
        <v>868</v>
      </c>
      <c r="D298" s="46">
        <v>76.572490000000002</v>
      </c>
      <c r="E298" s="28">
        <v>0.1</v>
      </c>
      <c r="F298" s="32">
        <f t="shared" si="62"/>
        <v>84.229739000000009</v>
      </c>
      <c r="G298" s="29" t="s">
        <v>65</v>
      </c>
      <c r="H298" s="29"/>
      <c r="I298" s="29"/>
      <c r="J298" s="33"/>
      <c r="K298" s="34">
        <f t="shared" si="63"/>
        <v>0</v>
      </c>
      <c r="L298" s="35"/>
    </row>
    <row r="299" spans="1:12" s="37" customFormat="1" x14ac:dyDescent="0.25">
      <c r="A299" s="30">
        <f>IF(F299&lt;&gt;"",1+MAX($A$7:A298),"")</f>
        <v>248</v>
      </c>
      <c r="B299" s="31"/>
      <c r="C299" s="37" t="s">
        <v>711</v>
      </c>
      <c r="D299" s="46">
        <v>49.92821</v>
      </c>
      <c r="E299" s="28">
        <v>0.1</v>
      </c>
      <c r="F299" s="32">
        <f t="shared" si="62"/>
        <v>54.921031000000006</v>
      </c>
      <c r="G299" s="29" t="s">
        <v>65</v>
      </c>
      <c r="H299" s="29"/>
      <c r="I299" s="29"/>
      <c r="J299" s="33"/>
      <c r="K299" s="34">
        <f t="shared" si="63"/>
        <v>0</v>
      </c>
      <c r="L299" s="35"/>
    </row>
    <row r="300" spans="1:12" s="37" customFormat="1" x14ac:dyDescent="0.25">
      <c r="A300" s="30">
        <f>IF(F300&lt;&gt;"",1+MAX($A$7:A299),"")</f>
        <v>249</v>
      </c>
      <c r="B300" s="31"/>
      <c r="C300" s="37" t="s">
        <v>943</v>
      </c>
      <c r="D300" s="46">
        <v>127.2492</v>
      </c>
      <c r="E300" s="28">
        <v>0.1</v>
      </c>
      <c r="F300" s="32">
        <f t="shared" si="62"/>
        <v>139.97412</v>
      </c>
      <c r="G300" s="29" t="s">
        <v>65</v>
      </c>
      <c r="H300" s="29"/>
      <c r="I300" s="29"/>
      <c r="J300" s="33"/>
      <c r="K300" s="34">
        <f t="shared" si="63"/>
        <v>0</v>
      </c>
      <c r="L300" s="35"/>
    </row>
    <row r="301" spans="1:12" s="37" customFormat="1" x14ac:dyDescent="0.25">
      <c r="A301" s="30">
        <f>IF(F301&lt;&gt;"",1+MAX($A$7:A300),"")</f>
        <v>250</v>
      </c>
      <c r="B301" s="31"/>
      <c r="C301" s="37" t="s">
        <v>944</v>
      </c>
      <c r="D301" s="46">
        <v>23.419499999999999</v>
      </c>
      <c r="E301" s="28">
        <v>0.1</v>
      </c>
      <c r="F301" s="32">
        <f t="shared" si="62"/>
        <v>25.76145</v>
      </c>
      <c r="G301" s="29" t="s">
        <v>65</v>
      </c>
      <c r="H301" s="29"/>
      <c r="I301" s="29"/>
      <c r="J301" s="33"/>
      <c r="K301" s="34">
        <f t="shared" si="63"/>
        <v>0</v>
      </c>
      <c r="L301" s="35"/>
    </row>
    <row r="302" spans="1:12" s="37" customFormat="1" x14ac:dyDescent="0.25">
      <c r="A302" s="30">
        <f>IF(F302&lt;&gt;"",1+MAX($A$7:A301),"")</f>
        <v>251</v>
      </c>
      <c r="B302" s="31"/>
      <c r="C302" s="37" t="s">
        <v>945</v>
      </c>
      <c r="D302" s="46">
        <v>433.3075</v>
      </c>
      <c r="E302" s="28">
        <v>0.1</v>
      </c>
      <c r="F302" s="32">
        <f t="shared" si="62"/>
        <v>476.63825000000003</v>
      </c>
      <c r="G302" s="29" t="s">
        <v>65</v>
      </c>
      <c r="H302" s="29"/>
      <c r="I302" s="29"/>
      <c r="J302" s="33"/>
      <c r="K302" s="34">
        <f t="shared" si="63"/>
        <v>0</v>
      </c>
      <c r="L302" s="35"/>
    </row>
    <row r="303" spans="1:12" s="37" customFormat="1" x14ac:dyDescent="0.25">
      <c r="A303" s="30">
        <f>IF(F303&lt;&gt;"",1+MAX($A$7:A302),"")</f>
        <v>252</v>
      </c>
      <c r="B303" s="31"/>
      <c r="C303" s="37" t="s">
        <v>946</v>
      </c>
      <c r="D303" s="46">
        <v>15.880459999999999</v>
      </c>
      <c r="E303" s="28">
        <v>0.1</v>
      </c>
      <c r="F303" s="32">
        <f t="shared" si="62"/>
        <v>17.468506000000001</v>
      </c>
      <c r="G303" s="29" t="s">
        <v>65</v>
      </c>
      <c r="H303" s="29"/>
      <c r="I303" s="29"/>
      <c r="J303" s="33"/>
      <c r="K303" s="34">
        <f t="shared" si="63"/>
        <v>0</v>
      </c>
      <c r="L303" s="35"/>
    </row>
    <row r="304" spans="1:12" s="37" customFormat="1" x14ac:dyDescent="0.25">
      <c r="A304" s="30">
        <f>IF(F304&lt;&gt;"",1+MAX($A$7:A303),"")</f>
        <v>253</v>
      </c>
      <c r="B304" s="31"/>
      <c r="C304" s="37" t="s">
        <v>978</v>
      </c>
      <c r="D304" s="46">
        <v>33.24</v>
      </c>
      <c r="E304" s="28">
        <v>0.1</v>
      </c>
      <c r="F304" s="32">
        <f t="shared" si="62"/>
        <v>36.564000000000007</v>
      </c>
      <c r="G304" s="29" t="s">
        <v>65</v>
      </c>
      <c r="H304" s="29"/>
      <c r="I304" s="29"/>
      <c r="J304" s="33"/>
      <c r="K304" s="34">
        <f t="shared" si="63"/>
        <v>0</v>
      </c>
      <c r="L304" s="35"/>
    </row>
    <row r="305" spans="1:12" s="37" customFormat="1" x14ac:dyDescent="0.25">
      <c r="A305" s="30">
        <f>IF(F305&lt;&gt;"",1+MAX($A$7:A304),"")</f>
        <v>254</v>
      </c>
      <c r="B305" s="31"/>
      <c r="C305" s="37" t="s">
        <v>712</v>
      </c>
      <c r="D305" s="46">
        <v>52.375770000000003</v>
      </c>
      <c r="E305" s="28">
        <v>0.1</v>
      </c>
      <c r="F305" s="32">
        <f t="shared" si="62"/>
        <v>57.613347000000005</v>
      </c>
      <c r="G305" s="29" t="s">
        <v>65</v>
      </c>
      <c r="H305" s="29"/>
      <c r="I305" s="29"/>
      <c r="J305" s="33"/>
      <c r="K305" s="34">
        <f t="shared" si="63"/>
        <v>0</v>
      </c>
      <c r="L305" s="35"/>
    </row>
    <row r="306" spans="1:12" s="37" customFormat="1" x14ac:dyDescent="0.25">
      <c r="A306" s="30">
        <f>IF(F306&lt;&gt;"",1+MAX($A$7:A305),"")</f>
        <v>255</v>
      </c>
      <c r="B306" s="31"/>
      <c r="C306" s="37" t="s">
        <v>869</v>
      </c>
      <c r="D306" s="46">
        <v>58.17</v>
      </c>
      <c r="E306" s="28">
        <v>0.1</v>
      </c>
      <c r="F306" s="32">
        <f t="shared" si="62"/>
        <v>63.987000000000009</v>
      </c>
      <c r="G306" s="29" t="s">
        <v>65</v>
      </c>
      <c r="H306" s="29"/>
      <c r="I306" s="29"/>
      <c r="J306" s="33"/>
      <c r="K306" s="34">
        <f t="shared" si="63"/>
        <v>0</v>
      </c>
      <c r="L306" s="35"/>
    </row>
    <row r="307" spans="1:12" s="37" customFormat="1" x14ac:dyDescent="0.25">
      <c r="A307" s="30">
        <f>IF(F307&lt;&gt;"",1+MAX($A$7:A306),"")</f>
        <v>256</v>
      </c>
      <c r="B307" s="31"/>
      <c r="C307" s="37" t="s">
        <v>1092</v>
      </c>
      <c r="D307" s="46">
        <v>2814.08</v>
      </c>
      <c r="E307" s="28">
        <v>0.1</v>
      </c>
      <c r="F307" s="32">
        <f t="shared" si="62"/>
        <v>3095.4880000000003</v>
      </c>
      <c r="G307" s="29" t="s">
        <v>65</v>
      </c>
      <c r="H307" s="29"/>
      <c r="I307" s="29"/>
      <c r="J307" s="33"/>
      <c r="K307" s="34">
        <f t="shared" si="63"/>
        <v>0</v>
      </c>
      <c r="L307" s="35"/>
    </row>
    <row r="308" spans="1:12" s="37" customFormat="1" x14ac:dyDescent="0.25">
      <c r="A308" s="30">
        <f>IF(F308&lt;&gt;"",1+MAX($A$7:A307),"")</f>
        <v>257</v>
      </c>
      <c r="B308" s="31"/>
      <c r="C308" s="37" t="s">
        <v>1093</v>
      </c>
      <c r="D308" s="46">
        <v>839.94</v>
      </c>
      <c r="E308" s="28">
        <v>0.1</v>
      </c>
      <c r="F308" s="32">
        <f t="shared" si="62"/>
        <v>923.93400000000008</v>
      </c>
      <c r="G308" s="29" t="s">
        <v>65</v>
      </c>
      <c r="H308" s="29"/>
      <c r="I308" s="29"/>
      <c r="J308" s="33"/>
      <c r="K308" s="34">
        <f t="shared" si="63"/>
        <v>0</v>
      </c>
      <c r="L308" s="35"/>
    </row>
    <row r="309" spans="1:12" s="37" customFormat="1" x14ac:dyDescent="0.25">
      <c r="A309" s="30">
        <f>IF(F309&lt;&gt;"",1+MAX($A$7:A308),"")</f>
        <v>258</v>
      </c>
      <c r="B309" s="31"/>
      <c r="C309" s="37" t="s">
        <v>1094</v>
      </c>
      <c r="D309" s="46">
        <v>849.50450000000001</v>
      </c>
      <c r="E309" s="28">
        <v>0.1</v>
      </c>
      <c r="F309" s="32">
        <f t="shared" si="62"/>
        <v>934.45495000000005</v>
      </c>
      <c r="G309" s="29" t="s">
        <v>65</v>
      </c>
      <c r="H309" s="29"/>
      <c r="I309" s="29"/>
      <c r="J309" s="33"/>
      <c r="K309" s="34">
        <f t="shared" si="63"/>
        <v>0</v>
      </c>
      <c r="L309" s="35"/>
    </row>
    <row r="310" spans="1:12" s="37" customFormat="1" x14ac:dyDescent="0.25">
      <c r="A310" s="30">
        <f>IF(F310&lt;&gt;"",1+MAX($A$7:A309),"")</f>
        <v>259</v>
      </c>
      <c r="B310" s="31"/>
      <c r="C310" s="37" t="s">
        <v>1087</v>
      </c>
      <c r="D310" s="46">
        <v>413.5</v>
      </c>
      <c r="E310" s="28">
        <v>0.1</v>
      </c>
      <c r="F310" s="32">
        <f t="shared" si="62"/>
        <v>454.85</v>
      </c>
      <c r="G310" s="29" t="s">
        <v>65</v>
      </c>
      <c r="H310" s="29"/>
      <c r="I310" s="29"/>
      <c r="J310" s="33"/>
      <c r="K310" s="34">
        <f t="shared" si="63"/>
        <v>0</v>
      </c>
      <c r="L310" s="35"/>
    </row>
    <row r="311" spans="1:12" s="37" customFormat="1" x14ac:dyDescent="0.25">
      <c r="A311" s="30">
        <f>IF(F311&lt;&gt;"",1+MAX($A$7:A310),"")</f>
        <v>260</v>
      </c>
      <c r="B311" s="31"/>
      <c r="C311" s="37" t="s">
        <v>947</v>
      </c>
      <c r="D311" s="46">
        <v>103.45</v>
      </c>
      <c r="E311" s="28">
        <v>0.1</v>
      </c>
      <c r="F311" s="32">
        <f t="shared" si="62"/>
        <v>113.79500000000002</v>
      </c>
      <c r="G311" s="29" t="s">
        <v>65</v>
      </c>
      <c r="H311" s="29"/>
      <c r="I311" s="29"/>
      <c r="J311" s="33"/>
      <c r="K311" s="34">
        <f t="shared" si="63"/>
        <v>0</v>
      </c>
      <c r="L311" s="35"/>
    </row>
    <row r="312" spans="1:12" s="37" customFormat="1" x14ac:dyDescent="0.25">
      <c r="A312" s="30">
        <f>IF(F312&lt;&gt;"",1+MAX($A$7:A311),"")</f>
        <v>261</v>
      </c>
      <c r="B312" s="31"/>
      <c r="C312" s="37" t="s">
        <v>948</v>
      </c>
      <c r="D312" s="46">
        <v>69.05</v>
      </c>
      <c r="E312" s="28">
        <v>0.1</v>
      </c>
      <c r="F312" s="32">
        <f t="shared" si="62"/>
        <v>75.954999999999998</v>
      </c>
      <c r="G312" s="29" t="s">
        <v>65</v>
      </c>
      <c r="H312" s="29"/>
      <c r="I312" s="29"/>
      <c r="J312" s="33"/>
      <c r="K312" s="34">
        <f t="shared" si="63"/>
        <v>0</v>
      </c>
      <c r="L312" s="35"/>
    </row>
    <row r="313" spans="1:12" s="37" customFormat="1" x14ac:dyDescent="0.25">
      <c r="A313" s="30">
        <f>IF(F313&lt;&gt;"",1+MAX($A$7:A312),"")</f>
        <v>262</v>
      </c>
      <c r="B313" s="31"/>
      <c r="C313" s="37" t="s">
        <v>870</v>
      </c>
      <c r="D313" s="46">
        <v>27.33954</v>
      </c>
      <c r="E313" s="28">
        <v>0.1</v>
      </c>
      <c r="F313" s="32">
        <f t="shared" si="62"/>
        <v>30.073494</v>
      </c>
      <c r="G313" s="29" t="s">
        <v>65</v>
      </c>
      <c r="H313" s="29"/>
      <c r="I313" s="29"/>
      <c r="J313" s="33"/>
      <c r="K313" s="34">
        <f t="shared" si="63"/>
        <v>0</v>
      </c>
      <c r="L313" s="35"/>
    </row>
    <row r="314" spans="1:12" s="37" customFormat="1" x14ac:dyDescent="0.25">
      <c r="A314" s="30">
        <f>IF(F314&lt;&gt;"",1+MAX($A$7:A313),"")</f>
        <v>263</v>
      </c>
      <c r="B314" s="31"/>
      <c r="C314" s="37" t="s">
        <v>871</v>
      </c>
      <c r="D314" s="46">
        <v>106.5065</v>
      </c>
      <c r="E314" s="28">
        <v>0.1</v>
      </c>
      <c r="F314" s="32">
        <f t="shared" si="62"/>
        <v>117.15715000000002</v>
      </c>
      <c r="G314" s="29" t="s">
        <v>65</v>
      </c>
      <c r="H314" s="29"/>
      <c r="I314" s="29"/>
      <c r="J314" s="33"/>
      <c r="K314" s="34">
        <f t="shared" si="63"/>
        <v>0</v>
      </c>
      <c r="L314" s="35"/>
    </row>
    <row r="315" spans="1:12" s="37" customFormat="1" x14ac:dyDescent="0.25">
      <c r="A315" s="30">
        <f>IF(F315&lt;&gt;"",1+MAX($A$7:A314),"")</f>
        <v>264</v>
      </c>
      <c r="B315" s="31"/>
      <c r="C315" s="37" t="s">
        <v>872</v>
      </c>
      <c r="D315" s="46">
        <v>62.816949999999999</v>
      </c>
      <c r="E315" s="28">
        <v>0.1</v>
      </c>
      <c r="F315" s="32">
        <f t="shared" si="62"/>
        <v>69.098645000000005</v>
      </c>
      <c r="G315" s="29" t="s">
        <v>65</v>
      </c>
      <c r="H315" s="29"/>
      <c r="I315" s="29"/>
      <c r="J315" s="33"/>
      <c r="K315" s="34">
        <f t="shared" si="63"/>
        <v>0</v>
      </c>
      <c r="L315" s="35"/>
    </row>
    <row r="316" spans="1:12" s="37" customFormat="1" x14ac:dyDescent="0.25">
      <c r="A316" s="30">
        <f>IF(F316&lt;&gt;"",1+MAX($A$7:A315),"")</f>
        <v>265</v>
      </c>
      <c r="B316" s="31"/>
      <c r="C316" s="37" t="s">
        <v>713</v>
      </c>
      <c r="D316" s="46">
        <v>13.966939999999999</v>
      </c>
      <c r="E316" s="28">
        <v>0.1</v>
      </c>
      <c r="F316" s="32">
        <f t="shared" si="62"/>
        <v>15.363634000000001</v>
      </c>
      <c r="G316" s="29" t="s">
        <v>65</v>
      </c>
      <c r="H316" s="29"/>
      <c r="I316" s="29"/>
      <c r="J316" s="33"/>
      <c r="K316" s="34">
        <f t="shared" si="63"/>
        <v>0</v>
      </c>
      <c r="L316" s="35"/>
    </row>
    <row r="317" spans="1:12" s="37" customFormat="1" x14ac:dyDescent="0.25">
      <c r="A317" s="30">
        <f>IF(F317&lt;&gt;"",1+MAX($A$7:A316),"")</f>
        <v>266</v>
      </c>
      <c r="B317" s="31"/>
      <c r="C317" s="37" t="s">
        <v>1098</v>
      </c>
      <c r="D317" s="46">
        <f>1013.39+1325.88</f>
        <v>2339.27</v>
      </c>
      <c r="E317" s="28">
        <v>0.1</v>
      </c>
      <c r="F317" s="32">
        <f t="shared" si="62"/>
        <v>2573.1970000000001</v>
      </c>
      <c r="G317" s="29" t="s">
        <v>65</v>
      </c>
      <c r="H317" s="29"/>
      <c r="I317" s="29"/>
      <c r="J317" s="33"/>
      <c r="K317" s="34">
        <f t="shared" si="63"/>
        <v>0</v>
      </c>
      <c r="L317" s="35"/>
    </row>
    <row r="318" spans="1:12" s="37" customFormat="1" x14ac:dyDescent="0.25">
      <c r="A318" s="30">
        <f>IF(F318&lt;&gt;"",1+MAX($A$7:A317),"")</f>
        <v>267</v>
      </c>
      <c r="B318" s="31"/>
      <c r="C318" s="37" t="s">
        <v>714</v>
      </c>
      <c r="D318" s="46">
        <v>16.5871</v>
      </c>
      <c r="E318" s="28">
        <v>0.1</v>
      </c>
      <c r="F318" s="32">
        <f t="shared" si="62"/>
        <v>18.245810000000002</v>
      </c>
      <c r="G318" s="29" t="s">
        <v>65</v>
      </c>
      <c r="H318" s="29"/>
      <c r="I318" s="29"/>
      <c r="J318" s="33"/>
      <c r="K318" s="34">
        <f t="shared" si="63"/>
        <v>0</v>
      </c>
      <c r="L318" s="35"/>
    </row>
    <row r="319" spans="1:12" s="37" customFormat="1" x14ac:dyDescent="0.25">
      <c r="A319" s="30">
        <f>IF(F319&lt;&gt;"",1+MAX($A$7:A318),"")</f>
        <v>268</v>
      </c>
      <c r="B319" s="31"/>
      <c r="C319" s="37" t="s">
        <v>873</v>
      </c>
      <c r="D319" s="46">
        <v>17.73366</v>
      </c>
      <c r="E319" s="28">
        <v>0.1</v>
      </c>
      <c r="F319" s="32">
        <f t="shared" si="62"/>
        <v>19.507026000000003</v>
      </c>
      <c r="G319" s="29" t="s">
        <v>65</v>
      </c>
      <c r="H319" s="29"/>
      <c r="I319" s="29"/>
      <c r="J319" s="33"/>
      <c r="K319" s="34">
        <f t="shared" si="63"/>
        <v>0</v>
      </c>
      <c r="L319" s="35"/>
    </row>
    <row r="320" spans="1:12" s="37" customFormat="1" x14ac:dyDescent="0.25">
      <c r="A320" s="30">
        <f>IF(F320&lt;&gt;"",1+MAX($A$7:A319),"")</f>
        <v>269</v>
      </c>
      <c r="B320" s="31"/>
      <c r="C320" s="37" t="s">
        <v>715</v>
      </c>
      <c r="D320" s="46">
        <v>29.590070000000001</v>
      </c>
      <c r="E320" s="28">
        <v>0.1</v>
      </c>
      <c r="F320" s="32">
        <f t="shared" si="62"/>
        <v>32.549077000000004</v>
      </c>
      <c r="G320" s="29" t="s">
        <v>65</v>
      </c>
      <c r="H320" s="29"/>
      <c r="I320" s="29"/>
      <c r="J320" s="33"/>
      <c r="K320" s="34">
        <f t="shared" si="63"/>
        <v>0</v>
      </c>
      <c r="L320" s="35"/>
    </row>
    <row r="321" spans="1:12" s="37" customFormat="1" x14ac:dyDescent="0.25">
      <c r="A321" s="30">
        <f>IF(F321&lt;&gt;"",1+MAX($A$7:A320),"")</f>
        <v>270</v>
      </c>
      <c r="B321" s="31"/>
      <c r="C321" s="37" t="s">
        <v>979</v>
      </c>
      <c r="D321" s="46">
        <v>48.89676</v>
      </c>
      <c r="E321" s="28">
        <v>0.1</v>
      </c>
      <c r="F321" s="32">
        <f t="shared" si="62"/>
        <v>53.786436000000002</v>
      </c>
      <c r="G321" s="29" t="s">
        <v>65</v>
      </c>
      <c r="H321" s="29"/>
      <c r="I321" s="29"/>
      <c r="J321" s="33"/>
      <c r="K321" s="34">
        <f t="shared" si="63"/>
        <v>0</v>
      </c>
      <c r="L321" s="35"/>
    </row>
    <row r="322" spans="1:12" s="37" customFormat="1" x14ac:dyDescent="0.25">
      <c r="A322" s="30">
        <f>IF(F322&lt;&gt;"",1+MAX($A$7:A321),"")</f>
        <v>271</v>
      </c>
      <c r="B322" s="31"/>
      <c r="C322" s="37" t="s">
        <v>1096</v>
      </c>
      <c r="D322" s="46">
        <v>1743.62</v>
      </c>
      <c r="E322" s="28">
        <v>0.1</v>
      </c>
      <c r="F322" s="32">
        <f t="shared" si="62"/>
        <v>1917.982</v>
      </c>
      <c r="G322" s="29" t="s">
        <v>65</v>
      </c>
      <c r="H322" s="29"/>
      <c r="I322" s="29"/>
      <c r="J322" s="33"/>
      <c r="K322" s="34">
        <f t="shared" si="63"/>
        <v>0</v>
      </c>
      <c r="L322" s="35"/>
    </row>
    <row r="323" spans="1:12" s="37" customFormat="1" x14ac:dyDescent="0.25">
      <c r="A323" s="30">
        <f>IF(F323&lt;&gt;"",1+MAX($A$7:A322),"")</f>
        <v>272</v>
      </c>
      <c r="B323" s="31"/>
      <c r="C323" s="37" t="s">
        <v>1097</v>
      </c>
      <c r="D323" s="46">
        <v>1147.82</v>
      </c>
      <c r="E323" s="28">
        <v>0.1</v>
      </c>
      <c r="F323" s="32">
        <f t="shared" si="62"/>
        <v>1262.6020000000001</v>
      </c>
      <c r="G323" s="29" t="s">
        <v>65</v>
      </c>
      <c r="H323" s="29"/>
      <c r="I323" s="29"/>
      <c r="J323" s="33"/>
      <c r="K323" s="34">
        <f t="shared" si="63"/>
        <v>0</v>
      </c>
      <c r="L323" s="35"/>
    </row>
    <row r="324" spans="1:12" s="37" customFormat="1" x14ac:dyDescent="0.25">
      <c r="A324" s="30">
        <f>IF(F324&lt;&gt;"",1+MAX($A$7:A323),"")</f>
        <v>273</v>
      </c>
      <c r="B324" s="31"/>
      <c r="C324" s="37" t="s">
        <v>1025</v>
      </c>
      <c r="D324" s="46">
        <v>267.21510000000001</v>
      </c>
      <c r="E324" s="28">
        <v>0.1</v>
      </c>
      <c r="F324" s="32">
        <f t="shared" si="62"/>
        <v>293.93661000000003</v>
      </c>
      <c r="G324" s="29" t="s">
        <v>65</v>
      </c>
      <c r="H324" s="29"/>
      <c r="I324" s="29"/>
      <c r="J324" s="33"/>
      <c r="K324" s="34">
        <f t="shared" si="63"/>
        <v>0</v>
      </c>
      <c r="L324" s="35"/>
    </row>
    <row r="325" spans="1:12" s="37" customFormat="1" x14ac:dyDescent="0.25">
      <c r="A325" s="30">
        <f>IF(F325&lt;&gt;"",1+MAX($A$7:A324),"")</f>
        <v>274</v>
      </c>
      <c r="B325" s="31"/>
      <c r="C325" s="37" t="s">
        <v>949</v>
      </c>
      <c r="D325" s="46">
        <v>63.07</v>
      </c>
      <c r="E325" s="28">
        <v>0.1</v>
      </c>
      <c r="F325" s="32">
        <f t="shared" si="62"/>
        <v>69.37700000000001</v>
      </c>
      <c r="G325" s="29" t="s">
        <v>65</v>
      </c>
      <c r="H325" s="29"/>
      <c r="I325" s="29"/>
      <c r="J325" s="33"/>
      <c r="K325" s="34">
        <f t="shared" si="63"/>
        <v>0</v>
      </c>
      <c r="L325" s="35"/>
    </row>
    <row r="326" spans="1:12" s="37" customFormat="1" x14ac:dyDescent="0.25">
      <c r="A326" s="30">
        <f>IF(F326&lt;&gt;"",1+MAX($A$7:A325),"")</f>
        <v>275</v>
      </c>
      <c r="B326" s="31"/>
      <c r="C326" s="37" t="s">
        <v>1090</v>
      </c>
      <c r="D326" s="46">
        <v>676.42</v>
      </c>
      <c r="E326" s="28">
        <v>0.1</v>
      </c>
      <c r="F326" s="32">
        <f t="shared" si="62"/>
        <v>744.06200000000001</v>
      </c>
      <c r="G326" s="29" t="s">
        <v>65</v>
      </c>
      <c r="H326" s="29"/>
      <c r="I326" s="29"/>
      <c r="J326" s="33"/>
      <c r="K326" s="34">
        <f t="shared" si="63"/>
        <v>0</v>
      </c>
      <c r="L326" s="35"/>
    </row>
    <row r="327" spans="1:12" s="37" customFormat="1" x14ac:dyDescent="0.25">
      <c r="A327" s="30">
        <f>IF(F327&lt;&gt;"",1+MAX($A$7:A326),"")</f>
        <v>276</v>
      </c>
      <c r="B327" s="31"/>
      <c r="C327" s="37" t="s">
        <v>1071</v>
      </c>
      <c r="D327" s="46">
        <v>401.91660000000002</v>
      </c>
      <c r="E327" s="28">
        <v>0.1</v>
      </c>
      <c r="F327" s="32">
        <f t="shared" si="62"/>
        <v>442.10826000000003</v>
      </c>
      <c r="G327" s="29" t="s">
        <v>65</v>
      </c>
      <c r="H327" s="29"/>
      <c r="I327" s="29"/>
      <c r="J327" s="33"/>
      <c r="K327" s="34">
        <f t="shared" si="63"/>
        <v>0</v>
      </c>
      <c r="L327" s="35"/>
    </row>
    <row r="328" spans="1:12" s="37" customFormat="1" x14ac:dyDescent="0.25">
      <c r="A328" s="30">
        <f>IF(F328&lt;&gt;"",1+MAX($A$7:A327),"")</f>
        <v>277</v>
      </c>
      <c r="B328" s="31"/>
      <c r="C328" s="37" t="s">
        <v>950</v>
      </c>
      <c r="D328" s="46">
        <v>72.485410000000002</v>
      </c>
      <c r="E328" s="28">
        <v>0.1</v>
      </c>
      <c r="F328" s="32">
        <f t="shared" si="62"/>
        <v>79.733951000000005</v>
      </c>
      <c r="G328" s="29" t="s">
        <v>65</v>
      </c>
      <c r="H328" s="29"/>
      <c r="I328" s="29"/>
      <c r="J328" s="33"/>
      <c r="K328" s="34">
        <f t="shared" si="63"/>
        <v>0</v>
      </c>
      <c r="L328" s="35"/>
    </row>
    <row r="329" spans="1:12" s="37" customFormat="1" x14ac:dyDescent="0.25">
      <c r="A329" s="30">
        <f>IF(F329&lt;&gt;"",1+MAX($A$7:A328),"")</f>
        <v>278</v>
      </c>
      <c r="B329" s="31"/>
      <c r="C329" s="37" t="s">
        <v>716</v>
      </c>
      <c r="D329" s="46">
        <v>51.294939999999997</v>
      </c>
      <c r="E329" s="28">
        <v>0.1</v>
      </c>
      <c r="F329" s="32">
        <f t="shared" si="62"/>
        <v>56.424433999999998</v>
      </c>
      <c r="G329" s="29" t="s">
        <v>65</v>
      </c>
      <c r="H329" s="29"/>
      <c r="I329" s="29"/>
      <c r="J329" s="33"/>
      <c r="K329" s="34">
        <f t="shared" si="63"/>
        <v>0</v>
      </c>
      <c r="L329" s="35"/>
    </row>
    <row r="330" spans="1:12" s="37" customFormat="1" x14ac:dyDescent="0.25">
      <c r="A330" s="30">
        <f>IF(F330&lt;&gt;"",1+MAX($A$7:A329),"")</f>
        <v>279</v>
      </c>
      <c r="B330" s="31"/>
      <c r="C330" s="37" t="s">
        <v>717</v>
      </c>
      <c r="D330" s="46">
        <v>38.140340000000002</v>
      </c>
      <c r="E330" s="28">
        <v>0.1</v>
      </c>
      <c r="F330" s="32">
        <f t="shared" si="62"/>
        <v>41.954374000000008</v>
      </c>
      <c r="G330" s="29" t="s">
        <v>65</v>
      </c>
      <c r="H330" s="29"/>
      <c r="I330" s="29"/>
      <c r="J330" s="33"/>
      <c r="K330" s="34">
        <f t="shared" si="63"/>
        <v>0</v>
      </c>
      <c r="L330" s="35"/>
    </row>
    <row r="331" spans="1:12" s="37" customFormat="1" x14ac:dyDescent="0.25">
      <c r="A331" s="30">
        <f>IF(F331&lt;&gt;"",1+MAX($A$7:A330),"")</f>
        <v>280</v>
      </c>
      <c r="B331" s="31"/>
      <c r="C331" s="37" t="s">
        <v>718</v>
      </c>
      <c r="D331" s="46">
        <v>21.449439999999999</v>
      </c>
      <c r="E331" s="28">
        <v>0.1</v>
      </c>
      <c r="F331" s="32">
        <f t="shared" si="62"/>
        <v>23.594384000000002</v>
      </c>
      <c r="G331" s="29" t="s">
        <v>65</v>
      </c>
      <c r="H331" s="29"/>
      <c r="I331" s="29"/>
      <c r="J331" s="33"/>
      <c r="K331" s="34">
        <f t="shared" si="63"/>
        <v>0</v>
      </c>
      <c r="L331" s="35"/>
    </row>
    <row r="332" spans="1:12" s="37" customFormat="1" x14ac:dyDescent="0.25">
      <c r="A332" s="30">
        <f>IF(F332&lt;&gt;"",1+MAX($A$7:A331),"")</f>
        <v>281</v>
      </c>
      <c r="B332" s="31"/>
      <c r="C332" s="37" t="s">
        <v>1084</v>
      </c>
      <c r="D332" s="46">
        <v>590.82000000000005</v>
      </c>
      <c r="E332" s="28">
        <v>0.1</v>
      </c>
      <c r="F332" s="32">
        <f t="shared" si="62"/>
        <v>649.90200000000016</v>
      </c>
      <c r="G332" s="29" t="s">
        <v>65</v>
      </c>
      <c r="H332" s="29"/>
      <c r="I332" s="29"/>
      <c r="J332" s="33"/>
      <c r="K332" s="34">
        <f t="shared" si="63"/>
        <v>0</v>
      </c>
      <c r="L332" s="35"/>
    </row>
    <row r="333" spans="1:12" s="37" customFormat="1" x14ac:dyDescent="0.25">
      <c r="A333" s="30">
        <f>IF(F333&lt;&gt;"",1+MAX($A$7:A332),"")</f>
        <v>282</v>
      </c>
      <c r="B333" s="31"/>
      <c r="C333" s="37" t="s">
        <v>1085</v>
      </c>
      <c r="D333" s="46">
        <v>581.39</v>
      </c>
      <c r="E333" s="28">
        <v>0.1</v>
      </c>
      <c r="F333" s="32">
        <f t="shared" si="62"/>
        <v>639.529</v>
      </c>
      <c r="G333" s="29" t="s">
        <v>65</v>
      </c>
      <c r="H333" s="29"/>
      <c r="I333" s="29"/>
      <c r="J333" s="33"/>
      <c r="K333" s="34">
        <f t="shared" si="63"/>
        <v>0</v>
      </c>
      <c r="L333" s="35"/>
    </row>
    <row r="334" spans="1:12" s="37" customFormat="1" x14ac:dyDescent="0.25">
      <c r="A334" s="30">
        <f>IF(F334&lt;&gt;"",1+MAX($A$7:A333),"")</f>
        <v>283</v>
      </c>
      <c r="B334" s="31"/>
      <c r="C334" s="37" t="s">
        <v>1026</v>
      </c>
      <c r="D334" s="46">
        <v>247.48</v>
      </c>
      <c r="E334" s="28">
        <v>0.1</v>
      </c>
      <c r="F334" s="32">
        <f t="shared" si="62"/>
        <v>272.22800000000001</v>
      </c>
      <c r="G334" s="29" t="s">
        <v>65</v>
      </c>
      <c r="H334" s="29"/>
      <c r="I334" s="29"/>
      <c r="J334" s="33"/>
      <c r="K334" s="34">
        <f t="shared" si="63"/>
        <v>0</v>
      </c>
      <c r="L334" s="35"/>
    </row>
    <row r="335" spans="1:12" s="37" customFormat="1" x14ac:dyDescent="0.25">
      <c r="A335" s="30">
        <f>IF(F335&lt;&gt;"",1+MAX($A$7:A334),"")</f>
        <v>284</v>
      </c>
      <c r="B335" s="31"/>
      <c r="C335" s="37" t="s">
        <v>1034</v>
      </c>
      <c r="D335" s="46">
        <v>192.31</v>
      </c>
      <c r="E335" s="28">
        <v>0.1</v>
      </c>
      <c r="F335" s="32">
        <f t="shared" si="62"/>
        <v>211.54100000000003</v>
      </c>
      <c r="G335" s="29" t="s">
        <v>65</v>
      </c>
      <c r="H335" s="29"/>
      <c r="I335" s="29"/>
      <c r="J335" s="33"/>
      <c r="K335" s="34">
        <f t="shared" si="63"/>
        <v>0</v>
      </c>
      <c r="L335" s="35"/>
    </row>
    <row r="336" spans="1:12" s="37" customFormat="1" x14ac:dyDescent="0.25">
      <c r="A336" s="30">
        <f>IF(F336&lt;&gt;"",1+MAX($A$7:A335),"")</f>
        <v>285</v>
      </c>
      <c r="B336" s="31"/>
      <c r="C336" s="37" t="s">
        <v>719</v>
      </c>
      <c r="D336" s="46">
        <v>30.01</v>
      </c>
      <c r="E336" s="28">
        <v>0.1</v>
      </c>
      <c r="F336" s="32">
        <f t="shared" si="62"/>
        <v>33.011000000000003</v>
      </c>
      <c r="G336" s="29" t="s">
        <v>65</v>
      </c>
      <c r="H336" s="29"/>
      <c r="I336" s="29"/>
      <c r="J336" s="33"/>
      <c r="K336" s="34">
        <f t="shared" si="63"/>
        <v>0</v>
      </c>
      <c r="L336" s="35"/>
    </row>
    <row r="337" spans="1:12" s="37" customFormat="1" x14ac:dyDescent="0.25">
      <c r="A337" s="30">
        <f>IF(F337&lt;&gt;"",1+MAX($A$7:A336),"")</f>
        <v>286</v>
      </c>
      <c r="B337" s="31"/>
      <c r="C337" s="37" t="s">
        <v>951</v>
      </c>
      <c r="D337" s="46">
        <v>69.306020000000004</v>
      </c>
      <c r="E337" s="28">
        <v>0.1</v>
      </c>
      <c r="F337" s="32">
        <f t="shared" si="62"/>
        <v>76.236622000000011</v>
      </c>
      <c r="G337" s="29" t="s">
        <v>65</v>
      </c>
      <c r="H337" s="29"/>
      <c r="I337" s="29"/>
      <c r="J337" s="33"/>
      <c r="K337" s="34">
        <f t="shared" si="63"/>
        <v>0</v>
      </c>
      <c r="L337" s="35"/>
    </row>
    <row r="338" spans="1:12" s="37" customFormat="1" x14ac:dyDescent="0.25">
      <c r="A338" s="30">
        <f>IF(F338&lt;&gt;"",1+MAX($A$7:A337),"")</f>
        <v>287</v>
      </c>
      <c r="B338" s="31"/>
      <c r="C338" s="37" t="s">
        <v>1038</v>
      </c>
      <c r="D338" s="46">
        <v>189.12</v>
      </c>
      <c r="E338" s="28">
        <v>0.1</v>
      </c>
      <c r="F338" s="32">
        <f t="shared" si="62"/>
        <v>208.03200000000001</v>
      </c>
      <c r="G338" s="29" t="s">
        <v>65</v>
      </c>
      <c r="H338" s="29"/>
      <c r="I338" s="29"/>
      <c r="J338" s="33"/>
      <c r="K338" s="34">
        <f t="shared" si="63"/>
        <v>0</v>
      </c>
      <c r="L338" s="35"/>
    </row>
    <row r="339" spans="1:12" s="37" customFormat="1" x14ac:dyDescent="0.25">
      <c r="A339" s="30">
        <f>IF(F339&lt;&gt;"",1+MAX($A$7:A338),"")</f>
        <v>288</v>
      </c>
      <c r="B339" s="31"/>
      <c r="C339" s="37" t="s">
        <v>1010</v>
      </c>
      <c r="D339" s="46">
        <v>114.7346</v>
      </c>
      <c r="E339" s="28">
        <v>0.1</v>
      </c>
      <c r="F339" s="32">
        <f t="shared" si="62"/>
        <v>126.20806000000002</v>
      </c>
      <c r="G339" s="29" t="s">
        <v>65</v>
      </c>
      <c r="H339" s="29"/>
      <c r="I339" s="29"/>
      <c r="J339" s="33"/>
      <c r="K339" s="34">
        <f t="shared" si="63"/>
        <v>0</v>
      </c>
      <c r="L339" s="35"/>
    </row>
    <row r="340" spans="1:12" s="37" customFormat="1" x14ac:dyDescent="0.25">
      <c r="A340" s="30">
        <f>IF(F340&lt;&gt;"",1+MAX($A$7:A339),"")</f>
        <v>289</v>
      </c>
      <c r="B340" s="31"/>
      <c r="C340" s="37" t="s">
        <v>1011</v>
      </c>
      <c r="D340" s="46">
        <v>119.2704</v>
      </c>
      <c r="E340" s="28">
        <v>0.1</v>
      </c>
      <c r="F340" s="32">
        <f t="shared" si="62"/>
        <v>131.19744</v>
      </c>
      <c r="G340" s="29" t="s">
        <v>65</v>
      </c>
      <c r="H340" s="29"/>
      <c r="I340" s="29"/>
      <c r="J340" s="33"/>
      <c r="K340" s="34">
        <f t="shared" si="63"/>
        <v>0</v>
      </c>
      <c r="L340" s="35"/>
    </row>
    <row r="341" spans="1:12" s="37" customFormat="1" x14ac:dyDescent="0.25">
      <c r="A341" s="30">
        <f>IF(F341&lt;&gt;"",1+MAX($A$7:A340),"")</f>
        <v>290</v>
      </c>
      <c r="B341" s="31"/>
      <c r="C341" s="37" t="s">
        <v>720</v>
      </c>
      <c r="D341" s="46">
        <v>25.50273</v>
      </c>
      <c r="E341" s="28">
        <v>0.1</v>
      </c>
      <c r="F341" s="32">
        <f t="shared" si="62"/>
        <v>28.053003</v>
      </c>
      <c r="G341" s="29" t="s">
        <v>65</v>
      </c>
      <c r="H341" s="29"/>
      <c r="I341" s="29"/>
      <c r="J341" s="33"/>
      <c r="K341" s="34">
        <f t="shared" si="63"/>
        <v>0</v>
      </c>
      <c r="L341" s="35"/>
    </row>
    <row r="342" spans="1:12" s="37" customFormat="1" x14ac:dyDescent="0.25">
      <c r="A342" s="30">
        <f>IF(F342&lt;&gt;"",1+MAX($A$7:A341),"")</f>
        <v>291</v>
      </c>
      <c r="B342" s="31"/>
      <c r="C342" s="37" t="s">
        <v>1012</v>
      </c>
      <c r="D342" s="46">
        <v>53.977620000000002</v>
      </c>
      <c r="E342" s="28">
        <v>0.1</v>
      </c>
      <c r="F342" s="32">
        <f t="shared" si="62"/>
        <v>59.375382000000009</v>
      </c>
      <c r="G342" s="29" t="s">
        <v>65</v>
      </c>
      <c r="H342" s="29"/>
      <c r="I342" s="29"/>
      <c r="J342" s="33"/>
      <c r="K342" s="34">
        <f t="shared" si="63"/>
        <v>0</v>
      </c>
      <c r="L342" s="35"/>
    </row>
    <row r="343" spans="1:12" s="37" customFormat="1" x14ac:dyDescent="0.25">
      <c r="A343" s="30">
        <f>IF(F343&lt;&gt;"",1+MAX($A$7:A342),"")</f>
        <v>292</v>
      </c>
      <c r="B343" s="31"/>
      <c r="C343" s="37" t="s">
        <v>1044</v>
      </c>
      <c r="D343" s="46">
        <v>419.11</v>
      </c>
      <c r="E343" s="28">
        <v>0.1</v>
      </c>
      <c r="F343" s="32">
        <f t="shared" si="62"/>
        <v>461.02100000000007</v>
      </c>
      <c r="G343" s="29" t="s">
        <v>65</v>
      </c>
      <c r="H343" s="29"/>
      <c r="I343" s="29"/>
      <c r="J343" s="33"/>
      <c r="K343" s="34">
        <f t="shared" si="63"/>
        <v>0</v>
      </c>
      <c r="L343" s="35"/>
    </row>
    <row r="344" spans="1:12" s="37" customFormat="1" x14ac:dyDescent="0.25">
      <c r="A344" s="30">
        <f>IF(F344&lt;&gt;"",1+MAX($A$7:A343),"")</f>
        <v>293</v>
      </c>
      <c r="B344" s="31"/>
      <c r="C344" s="37" t="s">
        <v>1058</v>
      </c>
      <c r="D344" s="46">
        <v>323.35000000000002</v>
      </c>
      <c r="E344" s="28">
        <v>0.1</v>
      </c>
      <c r="F344" s="32">
        <f t="shared" si="62"/>
        <v>355.68500000000006</v>
      </c>
      <c r="G344" s="29" t="s">
        <v>65</v>
      </c>
      <c r="H344" s="29"/>
      <c r="I344" s="29"/>
      <c r="J344" s="33"/>
      <c r="K344" s="34">
        <f t="shared" si="63"/>
        <v>0</v>
      </c>
      <c r="L344" s="35"/>
    </row>
    <row r="345" spans="1:12" s="37" customFormat="1" x14ac:dyDescent="0.25">
      <c r="A345" s="30">
        <f>IF(F345&lt;&gt;"",1+MAX($A$7:A344),"")</f>
        <v>294</v>
      </c>
      <c r="B345" s="31"/>
      <c r="C345" s="37" t="s">
        <v>721</v>
      </c>
      <c r="D345" s="46">
        <v>26.49344</v>
      </c>
      <c r="E345" s="28">
        <v>0.1</v>
      </c>
      <c r="F345" s="32">
        <f t="shared" si="62"/>
        <v>29.142784000000002</v>
      </c>
      <c r="G345" s="29" t="s">
        <v>65</v>
      </c>
      <c r="H345" s="29"/>
      <c r="I345" s="29"/>
      <c r="J345" s="33"/>
      <c r="K345" s="34">
        <f t="shared" si="63"/>
        <v>0</v>
      </c>
      <c r="L345" s="35"/>
    </row>
    <row r="346" spans="1:12" s="37" customFormat="1" x14ac:dyDescent="0.25">
      <c r="A346" s="30">
        <f>IF(F346&lt;&gt;"",1+MAX($A$7:A345),"")</f>
        <v>295</v>
      </c>
      <c r="B346" s="31"/>
      <c r="C346" s="37" t="s">
        <v>1027</v>
      </c>
      <c r="D346" s="46">
        <v>200.49</v>
      </c>
      <c r="E346" s="28">
        <v>0.1</v>
      </c>
      <c r="F346" s="32">
        <f t="shared" si="62"/>
        <v>220.53900000000002</v>
      </c>
      <c r="G346" s="29" t="s">
        <v>65</v>
      </c>
      <c r="H346" s="29"/>
      <c r="I346" s="29"/>
      <c r="J346" s="33"/>
      <c r="K346" s="34">
        <f t="shared" si="63"/>
        <v>0</v>
      </c>
      <c r="L346" s="35"/>
    </row>
    <row r="347" spans="1:12" s="37" customFormat="1" x14ac:dyDescent="0.25">
      <c r="A347" s="30">
        <f>IF(F347&lt;&gt;"",1+MAX($A$7:A346),"")</f>
        <v>296</v>
      </c>
      <c r="B347" s="31"/>
      <c r="C347" s="37" t="s">
        <v>722</v>
      </c>
      <c r="D347" s="46">
        <v>26.68</v>
      </c>
      <c r="E347" s="28">
        <v>0.1</v>
      </c>
      <c r="F347" s="32">
        <f t="shared" si="62"/>
        <v>29.348000000000003</v>
      </c>
      <c r="G347" s="29" t="s">
        <v>65</v>
      </c>
      <c r="H347" s="29"/>
      <c r="I347" s="29"/>
      <c r="J347" s="33"/>
      <c r="K347" s="34">
        <f t="shared" si="63"/>
        <v>0</v>
      </c>
      <c r="L347" s="35"/>
    </row>
    <row r="348" spans="1:12" s="37" customFormat="1" x14ac:dyDescent="0.25">
      <c r="A348" s="30">
        <f>IF(F348&lt;&gt;"",1+MAX($A$7:A347),"")</f>
        <v>297</v>
      </c>
      <c r="B348" s="31"/>
      <c r="C348" s="37" t="s">
        <v>723</v>
      </c>
      <c r="D348" s="46">
        <v>24.246400000000001</v>
      </c>
      <c r="E348" s="28">
        <v>0.1</v>
      </c>
      <c r="F348" s="32">
        <f t="shared" si="62"/>
        <v>26.671040000000005</v>
      </c>
      <c r="G348" s="29" t="s">
        <v>65</v>
      </c>
      <c r="H348" s="29"/>
      <c r="I348" s="29"/>
      <c r="J348" s="33"/>
      <c r="K348" s="34">
        <f t="shared" si="63"/>
        <v>0</v>
      </c>
      <c r="L348" s="35"/>
    </row>
    <row r="349" spans="1:12" s="37" customFormat="1" x14ac:dyDescent="0.25">
      <c r="A349" s="30">
        <f>IF(F349&lt;&gt;"",1+MAX($A$7:A348),"")</f>
        <v>298</v>
      </c>
      <c r="B349" s="31"/>
      <c r="C349" s="37" t="s">
        <v>1063</v>
      </c>
      <c r="D349" s="46">
        <v>500.69</v>
      </c>
      <c r="E349" s="28">
        <v>0.1</v>
      </c>
      <c r="F349" s="32">
        <f t="shared" si="62"/>
        <v>550.75900000000001</v>
      </c>
      <c r="G349" s="29" t="s">
        <v>65</v>
      </c>
      <c r="H349" s="29"/>
      <c r="I349" s="29"/>
      <c r="J349" s="33"/>
      <c r="K349" s="34">
        <f t="shared" si="63"/>
        <v>0</v>
      </c>
      <c r="L349" s="35"/>
    </row>
    <row r="350" spans="1:12" s="37" customFormat="1" x14ac:dyDescent="0.25">
      <c r="A350" s="30">
        <f>IF(F350&lt;&gt;"",1+MAX($A$7:A349),"")</f>
        <v>299</v>
      </c>
      <c r="B350" s="31"/>
      <c r="C350" s="37" t="s">
        <v>1064</v>
      </c>
      <c r="D350" s="46">
        <v>630.72</v>
      </c>
      <c r="E350" s="28">
        <v>0.1</v>
      </c>
      <c r="F350" s="32">
        <f t="shared" si="62"/>
        <v>693.79200000000003</v>
      </c>
      <c r="G350" s="29" t="s">
        <v>65</v>
      </c>
      <c r="H350" s="29"/>
      <c r="I350" s="29"/>
      <c r="J350" s="33"/>
      <c r="K350" s="34">
        <f t="shared" si="63"/>
        <v>0</v>
      </c>
      <c r="L350" s="35"/>
    </row>
    <row r="351" spans="1:12" s="37" customFormat="1" x14ac:dyDescent="0.25">
      <c r="A351" s="30">
        <f>IF(F351&lt;&gt;"",1+MAX($A$7:A350),"")</f>
        <v>300</v>
      </c>
      <c r="B351" s="31"/>
      <c r="C351" s="37" t="s">
        <v>952</v>
      </c>
      <c r="D351" s="46">
        <v>104.41</v>
      </c>
      <c r="E351" s="28">
        <v>0.1</v>
      </c>
      <c r="F351" s="32">
        <f t="shared" si="62"/>
        <v>114.851</v>
      </c>
      <c r="G351" s="29" t="s">
        <v>65</v>
      </c>
      <c r="H351" s="29"/>
      <c r="I351" s="29"/>
      <c r="J351" s="33"/>
      <c r="K351" s="34">
        <f t="shared" si="63"/>
        <v>0</v>
      </c>
      <c r="L351" s="35"/>
    </row>
    <row r="352" spans="1:12" s="37" customFormat="1" x14ac:dyDescent="0.25">
      <c r="A352" s="30">
        <f>IF(F352&lt;&gt;"",1+MAX($A$7:A351),"")</f>
        <v>301</v>
      </c>
      <c r="B352" s="31"/>
      <c r="C352" s="37" t="s">
        <v>724</v>
      </c>
      <c r="D352" s="46">
        <v>16.437940000000001</v>
      </c>
      <c r="E352" s="28">
        <v>0.1</v>
      </c>
      <c r="F352" s="32">
        <f t="shared" si="62"/>
        <v>18.081734000000004</v>
      </c>
      <c r="G352" s="29" t="s">
        <v>65</v>
      </c>
      <c r="H352" s="29"/>
      <c r="I352" s="29"/>
      <c r="J352" s="33"/>
      <c r="K352" s="34">
        <f t="shared" si="63"/>
        <v>0</v>
      </c>
      <c r="L352" s="35"/>
    </row>
    <row r="353" spans="1:12" s="37" customFormat="1" x14ac:dyDescent="0.25">
      <c r="A353" s="30">
        <f>IF(F353&lt;&gt;"",1+MAX($A$7:A352),"")</f>
        <v>302</v>
      </c>
      <c r="B353" s="31"/>
      <c r="C353" s="37" t="s">
        <v>1013</v>
      </c>
      <c r="D353" s="46">
        <v>176.09</v>
      </c>
      <c r="E353" s="28">
        <v>0.1</v>
      </c>
      <c r="F353" s="32">
        <f t="shared" ref="F353:F372" si="64">D353*(1+E353)</f>
        <v>193.69900000000001</v>
      </c>
      <c r="G353" s="29" t="s">
        <v>65</v>
      </c>
      <c r="H353" s="29"/>
      <c r="I353" s="29"/>
      <c r="J353" s="33"/>
      <c r="K353" s="34">
        <f t="shared" ref="K353:K372" si="65">J353*F353</f>
        <v>0</v>
      </c>
      <c r="L353" s="35"/>
    </row>
    <row r="354" spans="1:12" s="37" customFormat="1" x14ac:dyDescent="0.25">
      <c r="A354" s="30">
        <f>IF(F354&lt;&gt;"",1+MAX($A$7:A353),"")</f>
        <v>303</v>
      </c>
      <c r="B354" s="31"/>
      <c r="C354" s="37" t="s">
        <v>725</v>
      </c>
      <c r="D354" s="46">
        <v>29.79889</v>
      </c>
      <c r="E354" s="28">
        <v>0.1</v>
      </c>
      <c r="F354" s="32">
        <f t="shared" si="64"/>
        <v>32.778779</v>
      </c>
      <c r="G354" s="29" t="s">
        <v>65</v>
      </c>
      <c r="H354" s="29"/>
      <c r="I354" s="29"/>
      <c r="J354" s="33"/>
      <c r="K354" s="34">
        <f t="shared" si="65"/>
        <v>0</v>
      </c>
      <c r="L354" s="35"/>
    </row>
    <row r="355" spans="1:12" s="37" customFormat="1" x14ac:dyDescent="0.25">
      <c r="A355" s="30">
        <f>IF(F355&lt;&gt;"",1+MAX($A$7:A354),"")</f>
        <v>304</v>
      </c>
      <c r="B355" s="31"/>
      <c r="C355" s="37" t="s">
        <v>726</v>
      </c>
      <c r="D355" s="46">
        <v>27.59</v>
      </c>
      <c r="E355" s="28">
        <v>0.1</v>
      </c>
      <c r="F355" s="32">
        <f t="shared" si="64"/>
        <v>30.349000000000004</v>
      </c>
      <c r="G355" s="29" t="s">
        <v>65</v>
      </c>
      <c r="H355" s="29"/>
      <c r="I355" s="29"/>
      <c r="J355" s="33"/>
      <c r="K355" s="34">
        <f t="shared" si="65"/>
        <v>0</v>
      </c>
      <c r="L355" s="35"/>
    </row>
    <row r="356" spans="1:12" s="37" customFormat="1" x14ac:dyDescent="0.25">
      <c r="A356" s="30">
        <f>IF(F356&lt;&gt;"",1+MAX($A$7:A355),"")</f>
        <v>305</v>
      </c>
      <c r="B356" s="31"/>
      <c r="C356" s="37" t="s">
        <v>727</v>
      </c>
      <c r="D356" s="46">
        <v>35.520000000000003</v>
      </c>
      <c r="E356" s="28">
        <v>0.1</v>
      </c>
      <c r="F356" s="32">
        <f t="shared" si="64"/>
        <v>39.07200000000001</v>
      </c>
      <c r="G356" s="29" t="s">
        <v>65</v>
      </c>
      <c r="H356" s="29"/>
      <c r="I356" s="29"/>
      <c r="J356" s="33"/>
      <c r="K356" s="34">
        <f t="shared" si="65"/>
        <v>0</v>
      </c>
      <c r="L356" s="35"/>
    </row>
    <row r="357" spans="1:12" s="37" customFormat="1" x14ac:dyDescent="0.25">
      <c r="A357" s="30">
        <f>IF(F357&lt;&gt;"",1+MAX($A$7:A356),"")</f>
        <v>306</v>
      </c>
      <c r="B357" s="31"/>
      <c r="C357" s="37" t="s">
        <v>728</v>
      </c>
      <c r="D357" s="46">
        <v>44.318820000000002</v>
      </c>
      <c r="E357" s="28">
        <v>0.1</v>
      </c>
      <c r="F357" s="32">
        <f t="shared" si="64"/>
        <v>48.750702000000004</v>
      </c>
      <c r="G357" s="29" t="s">
        <v>65</v>
      </c>
      <c r="H357" s="29"/>
      <c r="I357" s="29"/>
      <c r="J357" s="33"/>
      <c r="K357" s="34">
        <f t="shared" si="65"/>
        <v>0</v>
      </c>
      <c r="L357" s="35"/>
    </row>
    <row r="358" spans="1:12" s="37" customFormat="1" x14ac:dyDescent="0.25">
      <c r="A358" s="30">
        <f>IF(F358&lt;&gt;"",1+MAX($A$7:A357),"")</f>
        <v>307</v>
      </c>
      <c r="B358" s="31"/>
      <c r="C358" s="37" t="s">
        <v>729</v>
      </c>
      <c r="D358" s="46">
        <v>53.959099999999999</v>
      </c>
      <c r="E358" s="28">
        <v>0.1</v>
      </c>
      <c r="F358" s="32">
        <f t="shared" si="64"/>
        <v>59.355010000000007</v>
      </c>
      <c r="G358" s="29" t="s">
        <v>65</v>
      </c>
      <c r="H358" s="29"/>
      <c r="I358" s="29"/>
      <c r="J358" s="33"/>
      <c r="K358" s="34">
        <f t="shared" si="65"/>
        <v>0</v>
      </c>
      <c r="L358" s="35"/>
    </row>
    <row r="359" spans="1:12" s="37" customFormat="1" x14ac:dyDescent="0.25">
      <c r="A359" s="30">
        <f>IF(F359&lt;&gt;"",1+MAX($A$7:A358),"")</f>
        <v>308</v>
      </c>
      <c r="B359" s="31"/>
      <c r="C359" s="37" t="s">
        <v>730</v>
      </c>
      <c r="D359" s="46">
        <v>53.699550000000002</v>
      </c>
      <c r="E359" s="28">
        <v>0.1</v>
      </c>
      <c r="F359" s="32">
        <f t="shared" si="64"/>
        <v>59.069505000000007</v>
      </c>
      <c r="G359" s="29" t="s">
        <v>65</v>
      </c>
      <c r="H359" s="29"/>
      <c r="I359" s="29"/>
      <c r="J359" s="33"/>
      <c r="K359" s="34">
        <f t="shared" si="65"/>
        <v>0</v>
      </c>
      <c r="L359" s="35"/>
    </row>
    <row r="360" spans="1:12" s="37" customFormat="1" x14ac:dyDescent="0.25">
      <c r="A360" s="30">
        <f>IF(F360&lt;&gt;"",1+MAX($A$7:A359),"")</f>
        <v>309</v>
      </c>
      <c r="B360" s="31"/>
      <c r="C360" s="37" t="s">
        <v>953</v>
      </c>
      <c r="D360" s="46">
        <v>84.92</v>
      </c>
      <c r="E360" s="28">
        <v>0.1</v>
      </c>
      <c r="F360" s="32">
        <f t="shared" si="64"/>
        <v>93.412000000000006</v>
      </c>
      <c r="G360" s="29" t="s">
        <v>65</v>
      </c>
      <c r="H360" s="29"/>
      <c r="I360" s="29"/>
      <c r="J360" s="33"/>
      <c r="K360" s="34">
        <f t="shared" si="65"/>
        <v>0</v>
      </c>
      <c r="L360" s="35"/>
    </row>
    <row r="361" spans="1:12" s="37" customFormat="1" x14ac:dyDescent="0.25">
      <c r="A361" s="30">
        <f>IF(F361&lt;&gt;"",1+MAX($A$7:A360),"")</f>
        <v>310</v>
      </c>
      <c r="B361" s="31"/>
      <c r="C361" s="37" t="s">
        <v>1072</v>
      </c>
      <c r="D361" s="46">
        <v>760.84939999999995</v>
      </c>
      <c r="E361" s="28">
        <v>0.1</v>
      </c>
      <c r="F361" s="32">
        <f t="shared" si="64"/>
        <v>836.93434000000002</v>
      </c>
      <c r="G361" s="29" t="s">
        <v>65</v>
      </c>
      <c r="H361" s="29"/>
      <c r="I361" s="29"/>
      <c r="J361" s="33"/>
      <c r="K361" s="34">
        <f t="shared" si="65"/>
        <v>0</v>
      </c>
      <c r="L361" s="35"/>
    </row>
    <row r="362" spans="1:12" s="37" customFormat="1" x14ac:dyDescent="0.25">
      <c r="A362" s="30">
        <f>IF(F362&lt;&gt;"",1+MAX($A$7:A361),"")</f>
        <v>311</v>
      </c>
      <c r="B362" s="31"/>
      <c r="C362" s="37" t="s">
        <v>731</v>
      </c>
      <c r="D362" s="46">
        <v>17</v>
      </c>
      <c r="E362" s="28">
        <v>0.1</v>
      </c>
      <c r="F362" s="32">
        <f t="shared" si="64"/>
        <v>18.700000000000003</v>
      </c>
      <c r="G362" s="29" t="s">
        <v>65</v>
      </c>
      <c r="H362" s="29"/>
      <c r="I362" s="29"/>
      <c r="J362" s="33"/>
      <c r="K362" s="34">
        <f t="shared" si="65"/>
        <v>0</v>
      </c>
      <c r="L362" s="35"/>
    </row>
    <row r="363" spans="1:12" s="37" customFormat="1" x14ac:dyDescent="0.25">
      <c r="A363" s="30">
        <f>IF(F363&lt;&gt;"",1+MAX($A$7:A362),"")</f>
        <v>312</v>
      </c>
      <c r="B363" s="31"/>
      <c r="C363" s="37" t="s">
        <v>732</v>
      </c>
      <c r="D363" s="46">
        <v>35.99</v>
      </c>
      <c r="E363" s="28">
        <v>0.1</v>
      </c>
      <c r="F363" s="32">
        <f t="shared" si="64"/>
        <v>39.589000000000006</v>
      </c>
      <c r="G363" s="29" t="s">
        <v>65</v>
      </c>
      <c r="H363" s="29"/>
      <c r="I363" s="29"/>
      <c r="J363" s="33"/>
      <c r="K363" s="34">
        <f t="shared" si="65"/>
        <v>0</v>
      </c>
      <c r="L363" s="35"/>
    </row>
    <row r="364" spans="1:12" s="37" customFormat="1" x14ac:dyDescent="0.25">
      <c r="A364" s="30">
        <f>IF(F364&lt;&gt;"",1+MAX($A$7:A363),"")</f>
        <v>313</v>
      </c>
      <c r="B364" s="31"/>
      <c r="C364" s="37" t="s">
        <v>733</v>
      </c>
      <c r="D364" s="46">
        <v>26.666810000000002</v>
      </c>
      <c r="E364" s="28">
        <v>0.1</v>
      </c>
      <c r="F364" s="32">
        <f t="shared" si="64"/>
        <v>29.333491000000006</v>
      </c>
      <c r="G364" s="29" t="s">
        <v>65</v>
      </c>
      <c r="H364" s="29"/>
      <c r="I364" s="29"/>
      <c r="J364" s="33"/>
      <c r="K364" s="34">
        <f t="shared" si="65"/>
        <v>0</v>
      </c>
      <c r="L364" s="35"/>
    </row>
    <row r="365" spans="1:12" s="37" customFormat="1" x14ac:dyDescent="0.25">
      <c r="A365" s="30">
        <f>IF(F365&lt;&gt;"",1+MAX($A$7:A364),"")</f>
        <v>314</v>
      </c>
      <c r="B365" s="31"/>
      <c r="C365" s="37" t="s">
        <v>1028</v>
      </c>
      <c r="D365" s="46">
        <v>195.05</v>
      </c>
      <c r="E365" s="28">
        <v>0.1</v>
      </c>
      <c r="F365" s="32">
        <f t="shared" si="64"/>
        <v>214.55500000000004</v>
      </c>
      <c r="G365" s="29" t="s">
        <v>65</v>
      </c>
      <c r="H365" s="29"/>
      <c r="I365" s="29"/>
      <c r="J365" s="33"/>
      <c r="K365" s="34">
        <f t="shared" si="65"/>
        <v>0</v>
      </c>
      <c r="L365" s="35"/>
    </row>
    <row r="366" spans="1:12" s="37" customFormat="1" x14ac:dyDescent="0.25">
      <c r="A366" s="30">
        <f>IF(F366&lt;&gt;"",1+MAX($A$7:A365),"")</f>
        <v>315</v>
      </c>
      <c r="B366" s="31"/>
      <c r="C366" s="37" t="s">
        <v>874</v>
      </c>
      <c r="D366" s="46">
        <v>88.319370000000006</v>
      </c>
      <c r="E366" s="28">
        <v>0.1</v>
      </c>
      <c r="F366" s="32">
        <f t="shared" si="64"/>
        <v>97.151307000000017</v>
      </c>
      <c r="G366" s="29" t="s">
        <v>65</v>
      </c>
      <c r="H366" s="29"/>
      <c r="I366" s="29"/>
      <c r="J366" s="33"/>
      <c r="K366" s="34">
        <f>J366*F366</f>
        <v>0</v>
      </c>
      <c r="L366" s="35"/>
    </row>
    <row r="367" spans="1:12" s="37" customFormat="1" x14ac:dyDescent="0.25">
      <c r="A367" s="30">
        <f>IF(F367&lt;&gt;"",1+MAX($A$7:A366),"")</f>
        <v>316</v>
      </c>
      <c r="B367" s="31"/>
      <c r="C367" s="37" t="s">
        <v>1078</v>
      </c>
      <c r="D367" s="46">
        <v>647.51</v>
      </c>
      <c r="E367" s="28">
        <v>0.1</v>
      </c>
      <c r="F367" s="32">
        <f t="shared" si="64"/>
        <v>712.26100000000008</v>
      </c>
      <c r="G367" s="29" t="s">
        <v>65</v>
      </c>
      <c r="H367" s="29"/>
      <c r="I367" s="29"/>
      <c r="J367" s="33"/>
      <c r="K367" s="34">
        <f>J367*F367</f>
        <v>0</v>
      </c>
      <c r="L367" s="35"/>
    </row>
    <row r="368" spans="1:12" s="37" customFormat="1" x14ac:dyDescent="0.25">
      <c r="A368" s="30">
        <f>IF(F368&lt;&gt;"",1+MAX($A$7:A367),"")</f>
        <v>317</v>
      </c>
      <c r="B368" s="31"/>
      <c r="C368" s="37" t="s">
        <v>734</v>
      </c>
      <c r="D368" s="46">
        <v>45.551720000000003</v>
      </c>
      <c r="E368" s="28">
        <v>0.1</v>
      </c>
      <c r="F368" s="32">
        <f t="shared" si="64"/>
        <v>50.106892000000009</v>
      </c>
      <c r="G368" s="29" t="s">
        <v>65</v>
      </c>
      <c r="H368" s="29"/>
      <c r="I368" s="29"/>
      <c r="J368" s="33"/>
      <c r="K368" s="34">
        <f>J368*F368</f>
        <v>0</v>
      </c>
      <c r="L368" s="35"/>
    </row>
    <row r="369" spans="1:12" s="37" customFormat="1" x14ac:dyDescent="0.25">
      <c r="A369" s="30">
        <f>IF(F369&lt;&gt;"",1+MAX($A$7:A368),"")</f>
        <v>318</v>
      </c>
      <c r="B369" s="31"/>
      <c r="C369" s="37" t="s">
        <v>875</v>
      </c>
      <c r="D369" s="46">
        <v>31.39</v>
      </c>
      <c r="E369" s="28">
        <v>0.1</v>
      </c>
      <c r="F369" s="32">
        <f t="shared" si="64"/>
        <v>34.529000000000003</v>
      </c>
      <c r="G369" s="29" t="s">
        <v>65</v>
      </c>
      <c r="H369" s="29"/>
      <c r="I369" s="29"/>
      <c r="J369" s="33"/>
      <c r="K369" s="34">
        <f>J369*F369</f>
        <v>0</v>
      </c>
      <c r="L369" s="35"/>
    </row>
    <row r="370" spans="1:12" s="37" customFormat="1" x14ac:dyDescent="0.25">
      <c r="A370" s="30">
        <f>IF(F370&lt;&gt;"",1+MAX($A$7:A369),"")</f>
        <v>319</v>
      </c>
      <c r="B370" s="31"/>
      <c r="C370" s="37" t="s">
        <v>980</v>
      </c>
      <c r="D370" s="46">
        <v>29.068670000000001</v>
      </c>
      <c r="E370" s="28">
        <v>0.1</v>
      </c>
      <c r="F370" s="32">
        <f t="shared" si="64"/>
        <v>31.975537000000003</v>
      </c>
      <c r="G370" s="29" t="s">
        <v>65</v>
      </c>
      <c r="H370" s="29"/>
      <c r="I370" s="29"/>
      <c r="J370" s="33"/>
      <c r="K370" s="34">
        <f>J370*F370</f>
        <v>0</v>
      </c>
      <c r="L370" s="35"/>
    </row>
    <row r="371" spans="1:12" s="37" customFormat="1" x14ac:dyDescent="0.25">
      <c r="A371" s="30">
        <f>IF(F371&lt;&gt;"",1+MAX($A$7:A370),"")</f>
        <v>320</v>
      </c>
      <c r="B371" s="31"/>
      <c r="C371" s="37" t="s">
        <v>735</v>
      </c>
      <c r="D371" s="46">
        <v>8.9830780000000008</v>
      </c>
      <c r="E371" s="28">
        <v>0.1</v>
      </c>
      <c r="F371" s="32">
        <f t="shared" si="64"/>
        <v>9.8813858000000021</v>
      </c>
      <c r="G371" s="29" t="s">
        <v>65</v>
      </c>
      <c r="H371" s="29"/>
      <c r="I371" s="29"/>
      <c r="J371" s="33"/>
      <c r="K371" s="34">
        <f t="shared" si="65"/>
        <v>0</v>
      </c>
      <c r="L371" s="35"/>
    </row>
    <row r="372" spans="1:12" s="37" customFormat="1" x14ac:dyDescent="0.25">
      <c r="A372" s="30">
        <f>IF(F372&lt;&gt;"",1+MAX($A$7:A371),"")</f>
        <v>321</v>
      </c>
      <c r="B372" s="31"/>
      <c r="C372" s="37" t="s">
        <v>954</v>
      </c>
      <c r="D372" s="46">
        <v>96.7881</v>
      </c>
      <c r="E372" s="28">
        <v>0.1</v>
      </c>
      <c r="F372" s="32">
        <f t="shared" si="64"/>
        <v>106.46691000000001</v>
      </c>
      <c r="G372" s="29" t="s">
        <v>65</v>
      </c>
      <c r="H372" s="29"/>
      <c r="I372" s="29"/>
      <c r="J372" s="33"/>
      <c r="K372" s="34">
        <f t="shared" si="65"/>
        <v>0</v>
      </c>
      <c r="L372" s="35"/>
    </row>
    <row r="373" spans="1:12" s="37" customFormat="1" x14ac:dyDescent="0.25">
      <c r="A373" s="30" t="str">
        <f>IF(F373&lt;&gt;"",1+MAX($A$7:A372),"")</f>
        <v/>
      </c>
      <c r="B373" s="31"/>
      <c r="D373" s="46"/>
      <c r="E373" s="28"/>
      <c r="F373" s="32"/>
      <c r="G373" s="29"/>
      <c r="H373" s="29"/>
      <c r="I373" s="29"/>
      <c r="J373" s="33"/>
      <c r="K373" s="34"/>
      <c r="L373" s="35"/>
    </row>
    <row r="374" spans="1:12" s="37" customFormat="1" x14ac:dyDescent="0.25">
      <c r="A374" s="30" t="str">
        <f>IF(F374&lt;&gt;"",1+MAX($A$7:A373),"")</f>
        <v/>
      </c>
      <c r="B374" s="31"/>
      <c r="C374" s="98" t="s">
        <v>628</v>
      </c>
      <c r="D374" s="46"/>
      <c r="E374" s="28"/>
      <c r="F374" s="32"/>
      <c r="G374" s="29"/>
      <c r="H374" s="29"/>
      <c r="I374" s="29"/>
      <c r="J374" s="33"/>
      <c r="K374" s="34"/>
      <c r="L374" s="35"/>
    </row>
    <row r="375" spans="1:12" s="37" customFormat="1" x14ac:dyDescent="0.25">
      <c r="A375" s="30">
        <f>IF(F375&lt;&gt;"",1+MAX($A$7:A374),"")</f>
        <v>322</v>
      </c>
      <c r="B375" s="31"/>
      <c r="C375" s="37" t="s">
        <v>876</v>
      </c>
      <c r="D375" s="46">
        <v>210.6593</v>
      </c>
      <c r="E375" s="28">
        <v>0.1</v>
      </c>
      <c r="F375" s="32">
        <f t="shared" ref="F375:F376" si="66">D375*(1+E375)</f>
        <v>231.72523000000001</v>
      </c>
      <c r="G375" s="29" t="s">
        <v>65</v>
      </c>
      <c r="H375" s="29"/>
      <c r="I375" s="29"/>
      <c r="J375" s="33"/>
      <c r="K375" s="34">
        <f t="shared" ref="K375:K376" si="67">J375*F375</f>
        <v>0</v>
      </c>
      <c r="L375" s="35"/>
    </row>
    <row r="376" spans="1:12" s="37" customFormat="1" x14ac:dyDescent="0.25">
      <c r="A376" s="30">
        <f>IF(F376&lt;&gt;"",1+MAX($A$7:A375),"")</f>
        <v>323</v>
      </c>
      <c r="B376" s="31"/>
      <c r="C376" s="37" t="s">
        <v>1099</v>
      </c>
      <c r="D376" s="46">
        <v>842.47969999999998</v>
      </c>
      <c r="E376" s="28">
        <v>0.1</v>
      </c>
      <c r="F376" s="32">
        <f t="shared" si="66"/>
        <v>926.7276700000001</v>
      </c>
      <c r="G376" s="29" t="s">
        <v>65</v>
      </c>
      <c r="H376" s="29"/>
      <c r="I376" s="29"/>
      <c r="J376" s="33"/>
      <c r="K376" s="34">
        <f t="shared" si="67"/>
        <v>0</v>
      </c>
      <c r="L376" s="35"/>
    </row>
    <row r="377" spans="1:12" s="37" customFormat="1" x14ac:dyDescent="0.25">
      <c r="A377" s="30" t="str">
        <f>IF(F377&lt;&gt;"",1+MAX($A$7:A376),"")</f>
        <v/>
      </c>
      <c r="B377" s="31"/>
      <c r="D377" s="46"/>
      <c r="E377" s="28"/>
      <c r="F377" s="32"/>
      <c r="G377" s="29"/>
      <c r="H377" s="29"/>
      <c r="I377" s="29"/>
      <c r="J377" s="33"/>
      <c r="K377" s="34"/>
      <c r="L377" s="35"/>
    </row>
    <row r="378" spans="1:12" s="37" customFormat="1" x14ac:dyDescent="0.25">
      <c r="A378" s="30" t="str">
        <f>IF(F378&lt;&gt;"",1+MAX($A$7:A377),"")</f>
        <v/>
      </c>
      <c r="B378" s="31"/>
      <c r="C378" s="98" t="s">
        <v>630</v>
      </c>
      <c r="D378" s="46"/>
      <c r="E378" s="28"/>
      <c r="F378" s="32"/>
      <c r="G378" s="29"/>
      <c r="H378" s="29"/>
      <c r="I378" s="29"/>
      <c r="J378" s="33"/>
      <c r="K378" s="34"/>
      <c r="L378" s="35"/>
    </row>
    <row r="379" spans="1:12" s="37" customFormat="1" x14ac:dyDescent="0.25">
      <c r="A379" s="30">
        <f>IF(F379&lt;&gt;"",1+MAX($A$7:A378),"")</f>
        <v>324</v>
      </c>
      <c r="B379" s="31"/>
      <c r="C379" s="37" t="s">
        <v>631</v>
      </c>
      <c r="D379" s="46">
        <f>1998+31490</f>
        <v>33488</v>
      </c>
      <c r="E379" s="28">
        <v>0.1</v>
      </c>
      <c r="F379" s="32">
        <f t="shared" ref="F379" si="68">D379*(1+E379)</f>
        <v>36836.800000000003</v>
      </c>
      <c r="G379" s="29" t="s">
        <v>275</v>
      </c>
      <c r="H379" s="29"/>
      <c r="I379" s="29"/>
      <c r="J379" s="33"/>
      <c r="K379" s="34">
        <f t="shared" ref="K379" si="69">J379*F379</f>
        <v>0</v>
      </c>
      <c r="L379" s="35"/>
    </row>
    <row r="380" spans="1:12" s="37" customFormat="1" x14ac:dyDescent="0.25">
      <c r="A380" s="30">
        <f>IF(F380&lt;&gt;"",1+MAX($A$7:A379),"")</f>
        <v>325</v>
      </c>
      <c r="B380" s="31"/>
      <c r="C380" s="37" t="s">
        <v>632</v>
      </c>
      <c r="D380" s="46">
        <v>5196</v>
      </c>
      <c r="E380" s="28">
        <v>0.1</v>
      </c>
      <c r="F380" s="32">
        <f t="shared" ref="F380:F382" si="70">D380*(1+E380)</f>
        <v>5715.6</v>
      </c>
      <c r="G380" s="29" t="s">
        <v>275</v>
      </c>
      <c r="H380" s="29"/>
      <c r="I380" s="29"/>
      <c r="J380" s="33"/>
      <c r="K380" s="34">
        <f t="shared" ref="K380:K382" si="71">J380*F380</f>
        <v>0</v>
      </c>
      <c r="L380" s="35"/>
    </row>
    <row r="381" spans="1:12" s="37" customFormat="1" x14ac:dyDescent="0.25">
      <c r="A381" s="30">
        <f>IF(F381&lt;&gt;"",1+MAX($A$7:A380),"")</f>
        <v>326</v>
      </c>
      <c r="B381" s="31"/>
      <c r="C381" s="37" t="s">
        <v>633</v>
      </c>
      <c r="D381" s="46">
        <v>442</v>
      </c>
      <c r="E381" s="28">
        <v>0.1</v>
      </c>
      <c r="F381" s="32">
        <f t="shared" si="70"/>
        <v>486.20000000000005</v>
      </c>
      <c r="G381" s="29" t="s">
        <v>275</v>
      </c>
      <c r="H381" s="29"/>
      <c r="I381" s="29"/>
      <c r="J381" s="33"/>
      <c r="K381" s="34">
        <f t="shared" si="71"/>
        <v>0</v>
      </c>
      <c r="L381" s="35"/>
    </row>
    <row r="382" spans="1:12" s="37" customFormat="1" x14ac:dyDescent="0.25">
      <c r="A382" s="30">
        <f>IF(F382&lt;&gt;"",1+MAX($A$7:A381),"")</f>
        <v>327</v>
      </c>
      <c r="B382" s="31"/>
      <c r="C382" s="37" t="s">
        <v>634</v>
      </c>
      <c r="D382" s="46">
        <v>432</v>
      </c>
      <c r="E382" s="28">
        <v>0.1</v>
      </c>
      <c r="F382" s="32">
        <f t="shared" si="70"/>
        <v>475.20000000000005</v>
      </c>
      <c r="G382" s="29" t="s">
        <v>275</v>
      </c>
      <c r="H382" s="29"/>
      <c r="I382" s="29"/>
      <c r="J382" s="33"/>
      <c r="K382" s="34">
        <f t="shared" si="71"/>
        <v>0</v>
      </c>
      <c r="L382" s="35"/>
    </row>
    <row r="383" spans="1:12" s="37" customFormat="1" x14ac:dyDescent="0.25">
      <c r="A383" s="30" t="str">
        <f>IF(F383&lt;&gt;"",1+MAX($A$7:A382),"")</f>
        <v/>
      </c>
      <c r="B383" s="31"/>
      <c r="D383" s="46"/>
      <c r="E383" s="28"/>
      <c r="F383" s="32"/>
      <c r="G383" s="29"/>
      <c r="H383" s="29"/>
      <c r="I383" s="29"/>
      <c r="J383" s="33"/>
      <c r="K383" s="34"/>
      <c r="L383" s="35"/>
    </row>
    <row r="384" spans="1:12" s="37" customFormat="1" x14ac:dyDescent="0.25">
      <c r="A384" s="30" t="str">
        <f>IF(F384&lt;&gt;"",1+MAX($A$7:A383),"")</f>
        <v/>
      </c>
      <c r="B384" s="31"/>
      <c r="C384" s="98" t="s">
        <v>228</v>
      </c>
      <c r="D384" s="46"/>
      <c r="E384" s="28"/>
      <c r="F384" s="32"/>
      <c r="G384" s="29"/>
      <c r="H384" s="29"/>
      <c r="I384" s="29"/>
      <c r="J384" s="33"/>
      <c r="K384" s="34"/>
      <c r="L384" s="35"/>
    </row>
    <row r="385" spans="1:12" s="37" customFormat="1" x14ac:dyDescent="0.25">
      <c r="A385" s="30">
        <f>IF(F385&lt;&gt;"",1+MAX($A$7:A384),"")</f>
        <v>328</v>
      </c>
      <c r="B385" s="31"/>
      <c r="C385" s="37" t="s">
        <v>736</v>
      </c>
      <c r="D385" s="46">
        <v>60.03154</v>
      </c>
      <c r="E385" s="28">
        <v>0.1</v>
      </c>
      <c r="F385" s="32">
        <f t="shared" ref="F385:F392" si="72">D385*(1+E385)</f>
        <v>66.034694000000002</v>
      </c>
      <c r="G385" s="29" t="s">
        <v>65</v>
      </c>
      <c r="H385" s="29"/>
      <c r="I385" s="29"/>
      <c r="J385" s="33"/>
      <c r="K385" s="34">
        <f t="shared" ref="K385:K392" si="73">J385*F385</f>
        <v>0</v>
      </c>
      <c r="L385" s="35"/>
    </row>
    <row r="386" spans="1:12" s="37" customFormat="1" x14ac:dyDescent="0.25">
      <c r="A386" s="30">
        <f>IF(F386&lt;&gt;"",1+MAX($A$7:A385),"")</f>
        <v>329</v>
      </c>
      <c r="B386" s="31"/>
      <c r="C386" s="37" t="s">
        <v>1039</v>
      </c>
      <c r="D386" s="46">
        <v>483.63499999999999</v>
      </c>
      <c r="E386" s="28">
        <v>0.1</v>
      </c>
      <c r="F386" s="32">
        <f t="shared" si="72"/>
        <v>531.99850000000004</v>
      </c>
      <c r="G386" s="29" t="s">
        <v>65</v>
      </c>
      <c r="H386" s="29"/>
      <c r="I386" s="29"/>
      <c r="J386" s="33"/>
      <c r="K386" s="34">
        <f t="shared" si="73"/>
        <v>0</v>
      </c>
      <c r="L386" s="35"/>
    </row>
    <row r="387" spans="1:12" s="37" customFormat="1" x14ac:dyDescent="0.25">
      <c r="A387" s="30">
        <f>IF(F387&lt;&gt;"",1+MAX($A$7:A386),"")</f>
        <v>330</v>
      </c>
      <c r="B387" s="31"/>
      <c r="C387" s="37" t="s">
        <v>737</v>
      </c>
      <c r="D387" s="46">
        <v>64.980689999999996</v>
      </c>
      <c r="E387" s="28">
        <v>0.1</v>
      </c>
      <c r="F387" s="32">
        <f t="shared" si="72"/>
        <v>71.478758999999997</v>
      </c>
      <c r="G387" s="29" t="s">
        <v>65</v>
      </c>
      <c r="H387" s="29"/>
      <c r="I387" s="29"/>
      <c r="J387" s="33"/>
      <c r="K387" s="34">
        <f t="shared" si="73"/>
        <v>0</v>
      </c>
      <c r="L387" s="35"/>
    </row>
    <row r="388" spans="1:12" s="37" customFormat="1" x14ac:dyDescent="0.25">
      <c r="A388" s="30">
        <f>IF(F388&lt;&gt;"",1+MAX($A$7:A387),"")</f>
        <v>331</v>
      </c>
      <c r="B388" s="31"/>
      <c r="C388" s="37" t="s">
        <v>1014</v>
      </c>
      <c r="D388" s="46">
        <v>321.298</v>
      </c>
      <c r="E388" s="28">
        <v>0.1</v>
      </c>
      <c r="F388" s="32">
        <f t="shared" si="72"/>
        <v>353.42780000000005</v>
      </c>
      <c r="G388" s="29" t="s">
        <v>65</v>
      </c>
      <c r="H388" s="29"/>
      <c r="I388" s="29"/>
      <c r="J388" s="33"/>
      <c r="K388" s="34">
        <f t="shared" si="73"/>
        <v>0</v>
      </c>
      <c r="L388" s="35"/>
    </row>
    <row r="389" spans="1:12" s="37" customFormat="1" x14ac:dyDescent="0.25">
      <c r="A389" s="30">
        <f>IF(F389&lt;&gt;"",1+MAX($A$7:A388),"")</f>
        <v>332</v>
      </c>
      <c r="B389" s="31"/>
      <c r="C389" s="37" t="s">
        <v>1054</v>
      </c>
      <c r="D389" s="46">
        <v>705.8107</v>
      </c>
      <c r="E389" s="28">
        <v>0.1</v>
      </c>
      <c r="F389" s="32">
        <f t="shared" si="72"/>
        <v>776.39177000000007</v>
      </c>
      <c r="G389" s="29" t="s">
        <v>65</v>
      </c>
      <c r="H389" s="29"/>
      <c r="I389" s="29"/>
      <c r="J389" s="33"/>
      <c r="K389" s="34">
        <f t="shared" si="73"/>
        <v>0</v>
      </c>
      <c r="L389" s="35"/>
    </row>
    <row r="390" spans="1:12" s="37" customFormat="1" x14ac:dyDescent="0.25">
      <c r="A390" s="30">
        <f>IF(F390&lt;&gt;"",1+MAX($A$7:A389),"")</f>
        <v>333</v>
      </c>
      <c r="B390" s="31"/>
      <c r="C390" s="37" t="s">
        <v>738</v>
      </c>
      <c r="D390" s="46">
        <v>64.395880000000005</v>
      </c>
      <c r="E390" s="28">
        <v>0.1</v>
      </c>
      <c r="F390" s="32">
        <f t="shared" si="72"/>
        <v>70.835468000000006</v>
      </c>
      <c r="G390" s="29" t="s">
        <v>65</v>
      </c>
      <c r="H390" s="29"/>
      <c r="I390" s="29"/>
      <c r="J390" s="33"/>
      <c r="K390" s="34">
        <f t="shared" si="73"/>
        <v>0</v>
      </c>
      <c r="L390" s="35"/>
    </row>
    <row r="391" spans="1:12" s="37" customFormat="1" x14ac:dyDescent="0.25">
      <c r="A391" s="30">
        <f>IF(F391&lt;&gt;"",1+MAX($A$7:A390),"")</f>
        <v>334</v>
      </c>
      <c r="B391" s="31"/>
      <c r="C391" s="37" t="s">
        <v>877</v>
      </c>
      <c r="D391" s="46">
        <v>128.44229999999999</v>
      </c>
      <c r="E391" s="28">
        <v>0.1</v>
      </c>
      <c r="F391" s="32">
        <f t="shared" si="72"/>
        <v>141.28653</v>
      </c>
      <c r="G391" s="29" t="s">
        <v>65</v>
      </c>
      <c r="H391" s="29"/>
      <c r="I391" s="29"/>
      <c r="J391" s="33"/>
      <c r="K391" s="34">
        <f t="shared" si="73"/>
        <v>0</v>
      </c>
      <c r="L391" s="35"/>
    </row>
    <row r="392" spans="1:12" s="37" customFormat="1" x14ac:dyDescent="0.25">
      <c r="A392" s="30">
        <f>IF(F392&lt;&gt;"",1+MAX($A$7:A391),"")</f>
        <v>335</v>
      </c>
      <c r="B392" s="31"/>
      <c r="C392" s="37" t="s">
        <v>739</v>
      </c>
      <c r="D392" s="46">
        <v>64.394049999999993</v>
      </c>
      <c r="E392" s="28">
        <v>0.1</v>
      </c>
      <c r="F392" s="32">
        <f t="shared" si="72"/>
        <v>70.833455000000001</v>
      </c>
      <c r="G392" s="29" t="s">
        <v>65</v>
      </c>
      <c r="H392" s="29"/>
      <c r="I392" s="29"/>
      <c r="J392" s="33"/>
      <c r="K392" s="34">
        <f t="shared" si="73"/>
        <v>0</v>
      </c>
      <c r="L392" s="35"/>
    </row>
    <row r="393" spans="1:12" s="37" customFormat="1" ht="15.75" thickBot="1" x14ac:dyDescent="0.3">
      <c r="A393" s="30" t="str">
        <f>IF(F393&lt;&gt;"",1+MAX($A$7:A392),"")</f>
        <v/>
      </c>
      <c r="B393" s="31"/>
      <c r="D393" s="46"/>
      <c r="E393" s="28"/>
      <c r="F393" s="32"/>
      <c r="G393" s="29"/>
      <c r="H393" s="29"/>
      <c r="I393" s="29"/>
      <c r="J393" s="33"/>
      <c r="K393" s="34"/>
      <c r="L393" s="35"/>
    </row>
    <row r="394" spans="1:12" ht="15.75" thickBot="1" x14ac:dyDescent="0.3">
      <c r="A394" s="99" t="str">
        <f>IF(F394&lt;&gt;"",1+MAX($A$7:A393),"")</f>
        <v/>
      </c>
      <c r="B394" s="7"/>
      <c r="C394" s="48" t="s">
        <v>627</v>
      </c>
      <c r="D394" s="102"/>
      <c r="E394" s="8"/>
      <c r="F394" s="8"/>
      <c r="G394" s="7"/>
      <c r="H394" s="7"/>
      <c r="I394" s="7"/>
      <c r="J394" s="25"/>
      <c r="K394" s="21"/>
      <c r="L394" s="9">
        <f>SUM(K395:K415)</f>
        <v>0</v>
      </c>
    </row>
    <row r="395" spans="1:12" s="37" customFormat="1" x14ac:dyDescent="0.25">
      <c r="A395" s="30" t="str">
        <f>IF(F395&lt;&gt;"",1+MAX($A$7:A394),"")</f>
        <v/>
      </c>
      <c r="B395" s="31"/>
      <c r="D395" s="46"/>
      <c r="E395" s="28"/>
      <c r="F395" s="32"/>
      <c r="G395" s="29"/>
      <c r="H395" s="29"/>
      <c r="I395" s="29"/>
      <c r="J395" s="33"/>
      <c r="K395" s="34"/>
      <c r="L395" s="35"/>
    </row>
    <row r="396" spans="1:12" s="37" customFormat="1" x14ac:dyDescent="0.25">
      <c r="A396" s="30" t="str">
        <f>IF(F396&lt;&gt;"",1+MAX($A$7:A395),"")</f>
        <v/>
      </c>
      <c r="B396" s="31"/>
      <c r="C396" s="98" t="s">
        <v>248</v>
      </c>
      <c r="D396" s="46"/>
      <c r="E396" s="28"/>
      <c r="F396" s="32"/>
      <c r="G396" s="29"/>
      <c r="H396" s="29"/>
      <c r="I396" s="29"/>
      <c r="J396" s="33"/>
      <c r="K396" s="34"/>
      <c r="L396" s="35"/>
    </row>
    <row r="397" spans="1:12" s="37" customFormat="1" x14ac:dyDescent="0.25">
      <c r="A397" s="30">
        <f>IF(F397&lt;&gt;"",1+MAX($A$7:A396),"")</f>
        <v>336</v>
      </c>
      <c r="B397" s="31"/>
      <c r="C397" s="43" t="s">
        <v>73</v>
      </c>
      <c r="D397" s="44">
        <f>8107+628+1057.08+2223.03+2000+3075+1290+190.5+310+310+28.533*14.5+452.248*14.5+44+1229*14.5+354*14.5+159*14.5+148*14.5*2+1300*14.5*2+103*14.5*2+5943</f>
        <v>102386.9345</v>
      </c>
      <c r="E397" s="28">
        <v>0.1</v>
      </c>
      <c r="F397" s="32">
        <f t="shared" ref="F397:F414" si="74">D397*(1+E397)</f>
        <v>112625.62795000001</v>
      </c>
      <c r="G397" s="29" t="s">
        <v>275</v>
      </c>
      <c r="H397" s="29"/>
      <c r="I397" s="29"/>
      <c r="J397" s="33"/>
      <c r="K397" s="34">
        <f>J397*F397</f>
        <v>0</v>
      </c>
      <c r="L397" s="35"/>
    </row>
    <row r="398" spans="1:12" s="37" customFormat="1" x14ac:dyDescent="0.25">
      <c r="A398" s="30">
        <f>IF(F398&lt;&gt;"",1+MAX($A$7:A397),"")</f>
        <v>337</v>
      </c>
      <c r="B398" s="31"/>
      <c r="C398" s="43" t="s">
        <v>272</v>
      </c>
      <c r="D398" s="44">
        <f>495.2833*14.5</f>
        <v>7181.6078500000003</v>
      </c>
      <c r="E398" s="28">
        <v>0.1</v>
      </c>
      <c r="F398" s="32">
        <f t="shared" si="74"/>
        <v>7899.7686350000013</v>
      </c>
      <c r="G398" s="29" t="s">
        <v>275</v>
      </c>
      <c r="H398" s="29"/>
      <c r="I398" s="29"/>
      <c r="J398" s="33"/>
      <c r="K398" s="34">
        <f t="shared" ref="K398:K414" si="75">J398*F398</f>
        <v>0</v>
      </c>
      <c r="L398" s="35"/>
    </row>
    <row r="399" spans="1:12" s="37" customFormat="1" x14ac:dyDescent="0.25">
      <c r="A399" s="30">
        <f>IF(F399&lt;&gt;"",1+MAX($A$7:A398),"")</f>
        <v>338</v>
      </c>
      <c r="B399" s="31"/>
      <c r="C399" s="43" t="s">
        <v>259</v>
      </c>
      <c r="D399" s="44">
        <f>8107*2+1057.08*2+2223.03*2+1290*2</f>
        <v>25354.22</v>
      </c>
      <c r="E399" s="28">
        <v>0.1</v>
      </c>
      <c r="F399" s="32">
        <f t="shared" si="74"/>
        <v>27889.642000000003</v>
      </c>
      <c r="G399" s="29" t="s">
        <v>275</v>
      </c>
      <c r="H399" s="29"/>
      <c r="I399" s="29"/>
      <c r="J399" s="33"/>
      <c r="K399" s="34">
        <f t="shared" si="75"/>
        <v>0</v>
      </c>
      <c r="L399" s="35"/>
    </row>
    <row r="400" spans="1:12" s="37" customFormat="1" x14ac:dyDescent="0.25">
      <c r="A400" s="30">
        <f>IF(F400&lt;&gt;"",1+MAX($A$7:A399),"")</f>
        <v>339</v>
      </c>
      <c r="B400" s="31"/>
      <c r="C400" s="43" t="s">
        <v>260</v>
      </c>
      <c r="D400" s="44">
        <f>563.25+32.28*4+2000+1000+3075+190.5+310+930</f>
        <v>8197.869999999999</v>
      </c>
      <c r="E400" s="28">
        <v>0.1</v>
      </c>
      <c r="F400" s="32">
        <f t="shared" si="74"/>
        <v>9017.6569999999992</v>
      </c>
      <c r="G400" s="29" t="s">
        <v>275</v>
      </c>
      <c r="H400" s="29"/>
      <c r="I400" s="29"/>
      <c r="J400" s="33"/>
      <c r="K400" s="34">
        <f t="shared" si="75"/>
        <v>0</v>
      </c>
      <c r="L400" s="35"/>
    </row>
    <row r="401" spans="1:12" s="37" customFormat="1" x14ac:dyDescent="0.25">
      <c r="A401" s="30">
        <f>IF(F401&lt;&gt;"",1+MAX($A$7:A400),"")</f>
        <v>340</v>
      </c>
      <c r="B401" s="31"/>
      <c r="C401" s="43" t="s">
        <v>269</v>
      </c>
      <c r="D401" s="44">
        <f>354*14.5+159*14.5+1300*14.5</f>
        <v>26288.5</v>
      </c>
      <c r="E401" s="28">
        <v>0.1</v>
      </c>
      <c r="F401" s="32">
        <f t="shared" si="74"/>
        <v>28917.350000000002</v>
      </c>
      <c r="G401" s="29" t="s">
        <v>275</v>
      </c>
      <c r="H401" s="29"/>
      <c r="I401" s="29"/>
      <c r="J401" s="33"/>
      <c r="K401" s="34">
        <f t="shared" si="75"/>
        <v>0</v>
      </c>
      <c r="L401" s="35"/>
    </row>
    <row r="402" spans="1:12" s="37" customFormat="1" x14ac:dyDescent="0.25">
      <c r="A402" s="30">
        <f>IF(F402&lt;&gt;"",1+MAX($A$7:A401),"")</f>
        <v>341</v>
      </c>
      <c r="B402" s="31"/>
      <c r="C402" s="43" t="s">
        <v>267</v>
      </c>
      <c r="D402" s="44">
        <f>452.24*14.5+1229*14.5+148*14.5+103*14.5*2</f>
        <v>29510.98</v>
      </c>
      <c r="E402" s="28">
        <v>0.1</v>
      </c>
      <c r="F402" s="32">
        <f t="shared" si="74"/>
        <v>32462.078000000001</v>
      </c>
      <c r="G402" s="29" t="s">
        <v>275</v>
      </c>
      <c r="H402" s="29"/>
      <c r="I402" s="29"/>
      <c r="J402" s="33"/>
      <c r="K402" s="34">
        <f t="shared" si="75"/>
        <v>0</v>
      </c>
      <c r="L402" s="35"/>
    </row>
    <row r="403" spans="1:12" s="37" customFormat="1" x14ac:dyDescent="0.25">
      <c r="A403" s="30">
        <f>IF(F403&lt;&gt;"",1+MAX($A$7:A402),"")</f>
        <v>342</v>
      </c>
      <c r="B403" s="31"/>
      <c r="C403" s="43" t="s">
        <v>273</v>
      </c>
      <c r="D403" s="44">
        <v>5943</v>
      </c>
      <c r="E403" s="28">
        <v>0.1</v>
      </c>
      <c r="F403" s="32">
        <f t="shared" si="74"/>
        <v>6537.3</v>
      </c>
      <c r="G403" s="29" t="s">
        <v>275</v>
      </c>
      <c r="H403" s="29"/>
      <c r="I403" s="29"/>
      <c r="J403" s="33"/>
      <c r="K403" s="34">
        <f t="shared" si="75"/>
        <v>0</v>
      </c>
      <c r="L403" s="35"/>
    </row>
    <row r="404" spans="1:12" s="37" customFormat="1" x14ac:dyDescent="0.25">
      <c r="A404" s="30">
        <f>IF(F404&lt;&gt;"",1+MAX($A$7:A403),"")</f>
        <v>343</v>
      </c>
      <c r="B404" s="31"/>
      <c r="C404" s="43" t="s">
        <v>274</v>
      </c>
      <c r="D404" s="44">
        <v>5943</v>
      </c>
      <c r="E404" s="28">
        <v>0.1</v>
      </c>
      <c r="F404" s="32">
        <f t="shared" si="74"/>
        <v>6537.3</v>
      </c>
      <c r="G404" s="29" t="s">
        <v>275</v>
      </c>
      <c r="H404" s="29"/>
      <c r="I404" s="29"/>
      <c r="J404" s="33"/>
      <c r="K404" s="34">
        <f t="shared" si="75"/>
        <v>0</v>
      </c>
      <c r="L404" s="35"/>
    </row>
    <row r="405" spans="1:12" s="37" customFormat="1" x14ac:dyDescent="0.25">
      <c r="A405" s="30">
        <f>IF(F405&lt;&gt;"",1+MAX($A$7:A404),"")</f>
        <v>344</v>
      </c>
      <c r="B405" s="31"/>
      <c r="C405" s="43" t="s">
        <v>268</v>
      </c>
      <c r="D405" s="44">
        <f>1229*14.5+159*14.5+354*14.5</f>
        <v>25259</v>
      </c>
      <c r="E405" s="28">
        <v>0.1</v>
      </c>
      <c r="F405" s="32">
        <f t="shared" si="74"/>
        <v>27784.9</v>
      </c>
      <c r="G405" s="29" t="s">
        <v>275</v>
      </c>
      <c r="H405" s="29"/>
      <c r="I405" s="29"/>
      <c r="J405" s="33"/>
      <c r="K405" s="34">
        <f t="shared" si="75"/>
        <v>0</v>
      </c>
      <c r="L405" s="35"/>
    </row>
    <row r="406" spans="1:12" s="37" customFormat="1" x14ac:dyDescent="0.25">
      <c r="A406" s="30">
        <f>IF(F406&lt;&gt;"",1+MAX($A$7:A405),"")</f>
        <v>345</v>
      </c>
      <c r="B406" s="31"/>
      <c r="C406" s="43" t="s">
        <v>252</v>
      </c>
      <c r="D406" s="44">
        <f>1702+1229*14.5+103*14.5*2</f>
        <v>22509.5</v>
      </c>
      <c r="E406" s="28">
        <v>0.1</v>
      </c>
      <c r="F406" s="32">
        <f t="shared" si="74"/>
        <v>24760.45</v>
      </c>
      <c r="G406" s="29" t="s">
        <v>275</v>
      </c>
      <c r="H406" s="29"/>
      <c r="I406" s="29"/>
      <c r="J406" s="33"/>
      <c r="K406" s="34">
        <f t="shared" si="75"/>
        <v>0</v>
      </c>
      <c r="L406" s="35"/>
    </row>
    <row r="407" spans="1:12" s="37" customFormat="1" x14ac:dyDescent="0.25">
      <c r="A407" s="30">
        <f>IF(F407&lt;&gt;"",1+MAX($A$7:A406),"")</f>
        <v>346</v>
      </c>
      <c r="B407" s="31"/>
      <c r="C407" s="43" t="s">
        <v>270</v>
      </c>
      <c r="D407" s="44">
        <f>354*14.5+159*14.5+14950</f>
        <v>22388.5</v>
      </c>
      <c r="E407" s="28">
        <v>0.1</v>
      </c>
      <c r="F407" s="32">
        <f t="shared" si="74"/>
        <v>24627.350000000002</v>
      </c>
      <c r="G407" s="29" t="s">
        <v>275</v>
      </c>
      <c r="H407" s="29"/>
      <c r="I407" s="29"/>
      <c r="J407" s="33"/>
      <c r="K407" s="34">
        <f t="shared" si="75"/>
        <v>0</v>
      </c>
      <c r="L407" s="35"/>
    </row>
    <row r="408" spans="1:12" s="37" customFormat="1" x14ac:dyDescent="0.25">
      <c r="A408" s="30">
        <f>IF(F408&lt;&gt;"",1+MAX($A$7:A407),"")</f>
        <v>347</v>
      </c>
      <c r="B408" s="31"/>
      <c r="C408" s="43" t="s">
        <v>258</v>
      </c>
      <c r="D408" s="44">
        <f>8107+628+1057.08+2223.03+2000+1000+3075+1290+190.5+310+930</f>
        <v>20810.61</v>
      </c>
      <c r="E408" s="28">
        <v>0.1</v>
      </c>
      <c r="F408" s="32">
        <f t="shared" si="74"/>
        <v>22891.671000000002</v>
      </c>
      <c r="G408" s="29" t="s">
        <v>275</v>
      </c>
      <c r="H408" s="29"/>
      <c r="I408" s="29"/>
      <c r="J408" s="33"/>
      <c r="K408" s="34">
        <f t="shared" si="75"/>
        <v>0</v>
      </c>
      <c r="L408" s="35"/>
    </row>
    <row r="409" spans="1:12" s="37" customFormat="1" x14ac:dyDescent="0.25">
      <c r="A409" s="30">
        <f>IF(F409&lt;&gt;"",1+MAX($A$7:A408),"")</f>
        <v>348</v>
      </c>
      <c r="B409" s="31"/>
      <c r="C409" s="43" t="s">
        <v>257</v>
      </c>
      <c r="D409" s="44">
        <f>8107+628+1057.08+2223.03+2000+2000+830.3+3075+1290+190.5+753+310+930</f>
        <v>23393.91</v>
      </c>
      <c r="E409" s="28">
        <v>0.1</v>
      </c>
      <c r="F409" s="32">
        <f t="shared" si="74"/>
        <v>25733.301000000003</v>
      </c>
      <c r="G409" s="29" t="s">
        <v>275</v>
      </c>
      <c r="H409" s="29"/>
      <c r="I409" s="29"/>
      <c r="J409" s="33"/>
      <c r="K409" s="34">
        <f t="shared" si="75"/>
        <v>0</v>
      </c>
      <c r="L409" s="35"/>
    </row>
    <row r="410" spans="1:12" s="37" customFormat="1" x14ac:dyDescent="0.25">
      <c r="A410" s="30">
        <f>IF(F410&lt;&gt;"",1+MAX($A$7:A409),"")</f>
        <v>349</v>
      </c>
      <c r="B410" s="31"/>
      <c r="C410" s="43" t="s">
        <v>253</v>
      </c>
      <c r="D410" s="44">
        <f>8107+628+1057.08+2223.03+2000+2000+830.3+3075+1290+190.5+753+310+930+930</f>
        <v>24323.91</v>
      </c>
      <c r="E410" s="28">
        <v>0.1</v>
      </c>
      <c r="F410" s="32">
        <f t="shared" si="74"/>
        <v>26756.301000000003</v>
      </c>
      <c r="G410" s="29" t="s">
        <v>275</v>
      </c>
      <c r="H410" s="29"/>
      <c r="I410" s="29"/>
      <c r="J410" s="33"/>
      <c r="K410" s="34">
        <f t="shared" si="75"/>
        <v>0</v>
      </c>
      <c r="L410" s="35"/>
    </row>
    <row r="411" spans="1:12" s="37" customFormat="1" x14ac:dyDescent="0.25">
      <c r="A411" s="30">
        <f>IF(F411&lt;&gt;"",1+MAX($A$7:A410),"")</f>
        <v>350</v>
      </c>
      <c r="B411" s="31"/>
      <c r="C411" s="43" t="s">
        <v>254</v>
      </c>
      <c r="D411" s="44">
        <f>8107+628+1057.08+2223.03+2000+2000+3075+1290+190.5+930+930</f>
        <v>22430.61</v>
      </c>
      <c r="E411" s="28">
        <v>0.1</v>
      </c>
      <c r="F411" s="32">
        <f t="shared" si="74"/>
        <v>24673.671000000002</v>
      </c>
      <c r="G411" s="29" t="s">
        <v>275</v>
      </c>
      <c r="H411" s="29"/>
      <c r="I411" s="29"/>
      <c r="J411" s="33"/>
      <c r="K411" s="34">
        <f t="shared" si="75"/>
        <v>0</v>
      </c>
      <c r="L411" s="35"/>
    </row>
    <row r="412" spans="1:12" s="37" customFormat="1" x14ac:dyDescent="0.25">
      <c r="A412" s="30">
        <f>IF(F412&lt;&gt;"",1+MAX($A$7:A411),"")</f>
        <v>351</v>
      </c>
      <c r="B412" s="31"/>
      <c r="C412" s="43" t="s">
        <v>256</v>
      </c>
      <c r="D412" s="44">
        <f>1290+3075+190.5+930*2</f>
        <v>6415.5</v>
      </c>
      <c r="E412" s="28">
        <v>0.1</v>
      </c>
      <c r="F412" s="32">
        <f t="shared" si="74"/>
        <v>7057.05</v>
      </c>
      <c r="G412" s="29" t="s">
        <v>275</v>
      </c>
      <c r="H412" s="29"/>
      <c r="I412" s="29"/>
      <c r="J412" s="33"/>
      <c r="K412" s="34">
        <f t="shared" si="75"/>
        <v>0</v>
      </c>
      <c r="L412" s="35"/>
    </row>
    <row r="413" spans="1:12" s="37" customFormat="1" x14ac:dyDescent="0.25">
      <c r="A413" s="30">
        <f>IF(F413&lt;&gt;"",1+MAX($A$7:A412),"")</f>
        <v>352</v>
      </c>
      <c r="B413" s="31"/>
      <c r="C413" s="43" t="s">
        <v>265</v>
      </c>
      <c r="D413" s="44">
        <f>190.5+310+310</f>
        <v>810.5</v>
      </c>
      <c r="E413" s="28">
        <v>0.1</v>
      </c>
      <c r="F413" s="32">
        <f t="shared" si="74"/>
        <v>891.55000000000007</v>
      </c>
      <c r="G413" s="29" t="s">
        <v>275</v>
      </c>
      <c r="H413" s="29"/>
      <c r="I413" s="29"/>
      <c r="J413" s="33"/>
      <c r="K413" s="34">
        <f t="shared" si="75"/>
        <v>0</v>
      </c>
      <c r="L413" s="35"/>
    </row>
    <row r="414" spans="1:12" s="37" customFormat="1" x14ac:dyDescent="0.25">
      <c r="A414" s="30">
        <f>IF(F414&lt;&gt;"",1+MAX($A$7:A413),"")</f>
        <v>353</v>
      </c>
      <c r="B414" s="31"/>
      <c r="C414" s="43" t="s">
        <v>263</v>
      </c>
      <c r="D414" s="44">
        <v>5118</v>
      </c>
      <c r="E414" s="28">
        <v>0.1</v>
      </c>
      <c r="F414" s="32">
        <f t="shared" si="74"/>
        <v>5629.8</v>
      </c>
      <c r="G414" s="29" t="s">
        <v>275</v>
      </c>
      <c r="H414" s="29"/>
      <c r="I414" s="29"/>
      <c r="J414" s="33"/>
      <c r="K414" s="34">
        <f t="shared" si="75"/>
        <v>0</v>
      </c>
      <c r="L414" s="35"/>
    </row>
    <row r="415" spans="1:12" s="37" customFormat="1" ht="15.75" thickBot="1" x14ac:dyDescent="0.3">
      <c r="A415" s="30" t="str">
        <f>IF(F415&lt;&gt;"",1+MAX($A$7:A414),"")</f>
        <v/>
      </c>
      <c r="B415" s="31"/>
      <c r="C415" s="43"/>
      <c r="D415" s="44"/>
      <c r="E415" s="28"/>
      <c r="F415" s="32"/>
      <c r="G415" s="29"/>
      <c r="H415" s="29"/>
      <c r="I415" s="29"/>
      <c r="J415" s="33"/>
      <c r="K415" s="34"/>
      <c r="L415" s="35"/>
    </row>
    <row r="416" spans="1:12" ht="15.75" thickBot="1" x14ac:dyDescent="0.3">
      <c r="A416" s="99" t="str">
        <f>IF(F416&lt;&gt;"",1+MAX($A$7:A415),"")</f>
        <v/>
      </c>
      <c r="B416" s="7" t="s">
        <v>48</v>
      </c>
      <c r="C416" s="48" t="s">
        <v>40</v>
      </c>
      <c r="D416" s="102"/>
      <c r="E416" s="8"/>
      <c r="F416" s="8"/>
      <c r="G416" s="7"/>
      <c r="H416" s="7"/>
      <c r="I416" s="7"/>
      <c r="J416" s="25"/>
      <c r="K416" s="21"/>
      <c r="L416" s="9">
        <f>SUM(K417:K422)</f>
        <v>0</v>
      </c>
    </row>
    <row r="417" spans="1:12" s="37" customFormat="1" x14ac:dyDescent="0.25">
      <c r="A417" s="30" t="str">
        <f>IF(F417&lt;&gt;"",1+MAX($A$7:A416),"")</f>
        <v/>
      </c>
      <c r="B417" s="31"/>
      <c r="C417" s="50"/>
      <c r="D417" s="46"/>
      <c r="E417" s="28"/>
      <c r="F417" s="32"/>
      <c r="G417" s="29"/>
      <c r="H417" s="29"/>
      <c r="I417" s="29"/>
      <c r="J417" s="33"/>
      <c r="K417" s="34"/>
      <c r="L417" s="35"/>
    </row>
    <row r="418" spans="1:12" s="37" customFormat="1" x14ac:dyDescent="0.25">
      <c r="A418" s="30" t="str">
        <f>IF(F418&lt;&gt;"",1+MAX($A$7:A417),"")</f>
        <v/>
      </c>
      <c r="B418" s="31"/>
      <c r="C418" s="49" t="s">
        <v>366</v>
      </c>
      <c r="D418" s="44"/>
      <c r="E418" s="28"/>
      <c r="F418" s="32"/>
      <c r="G418" s="29"/>
      <c r="H418" s="29"/>
      <c r="I418" s="29"/>
      <c r="J418" s="33"/>
      <c r="K418" s="34"/>
      <c r="L418" s="35"/>
    </row>
    <row r="419" spans="1:12" s="37" customFormat="1" x14ac:dyDescent="0.25">
      <c r="A419" s="30">
        <f>IF(F419&lt;&gt;"",1+MAX($A$7:A418),"")</f>
        <v>354</v>
      </c>
      <c r="B419" s="31"/>
      <c r="C419" s="43" t="s">
        <v>249</v>
      </c>
      <c r="D419" s="44">
        <v>23</v>
      </c>
      <c r="E419" s="28">
        <v>0</v>
      </c>
      <c r="F419" s="32">
        <f t="shared" ref="F419" si="76">D419*(1+E419)</f>
        <v>23</v>
      </c>
      <c r="G419" s="29" t="s">
        <v>66</v>
      </c>
      <c r="H419" s="29"/>
      <c r="I419" s="29"/>
      <c r="J419" s="33"/>
      <c r="K419" s="34">
        <f t="shared" ref="K419" si="77">J419*F419</f>
        <v>0</v>
      </c>
      <c r="L419" s="35"/>
    </row>
    <row r="420" spans="1:12" s="37" customFormat="1" x14ac:dyDescent="0.25">
      <c r="A420" s="30">
        <f>IF(F420&lt;&gt;"",1+MAX($A$7:A419),"")</f>
        <v>355</v>
      </c>
      <c r="B420" s="31"/>
      <c r="C420" s="43" t="s">
        <v>367</v>
      </c>
      <c r="D420" s="44">
        <v>63</v>
      </c>
      <c r="E420" s="28">
        <v>0.1</v>
      </c>
      <c r="F420" s="32">
        <f t="shared" ref="F420:F421" si="78">D420*(1+E420)</f>
        <v>69.300000000000011</v>
      </c>
      <c r="G420" s="29" t="s">
        <v>65</v>
      </c>
      <c r="H420" s="29"/>
      <c r="I420" s="29"/>
      <c r="J420" s="33"/>
      <c r="K420" s="34">
        <f t="shared" ref="K420:K421" si="79">J420*F420</f>
        <v>0</v>
      </c>
      <c r="L420" s="35"/>
    </row>
    <row r="421" spans="1:12" s="37" customFormat="1" x14ac:dyDescent="0.25">
      <c r="A421" s="30">
        <f>IF(F421&lt;&gt;"",1+MAX($A$7:A420),"")</f>
        <v>356</v>
      </c>
      <c r="B421" s="31"/>
      <c r="C421" s="43" t="s">
        <v>368</v>
      </c>
      <c r="D421" s="44">
        <v>63</v>
      </c>
      <c r="E421" s="28">
        <v>0.1</v>
      </c>
      <c r="F421" s="32">
        <f t="shared" si="78"/>
        <v>69.300000000000011</v>
      </c>
      <c r="G421" s="29" t="s">
        <v>65</v>
      </c>
      <c r="H421" s="29"/>
      <c r="I421" s="29"/>
      <c r="J421" s="33"/>
      <c r="K421" s="34">
        <f t="shared" si="79"/>
        <v>0</v>
      </c>
      <c r="L421" s="35"/>
    </row>
    <row r="422" spans="1:12" s="37" customFormat="1" ht="15.75" thickBot="1" x14ac:dyDescent="0.3">
      <c r="A422" s="30" t="str">
        <f>IF(F422&lt;&gt;"",1+MAX($A$7:A421),"")</f>
        <v/>
      </c>
      <c r="B422" s="31"/>
      <c r="C422" s="50"/>
      <c r="D422" s="46"/>
      <c r="E422" s="28"/>
      <c r="F422" s="32"/>
      <c r="G422" s="29"/>
      <c r="H422" s="29"/>
      <c r="I422" s="29"/>
      <c r="J422" s="33"/>
      <c r="K422" s="34"/>
      <c r="L422" s="35"/>
    </row>
    <row r="423" spans="1:12" ht="15.75" thickBot="1" x14ac:dyDescent="0.3">
      <c r="A423" s="99" t="str">
        <f>IF(F423&lt;&gt;"",1+MAX($A$7:A422),"")</f>
        <v/>
      </c>
      <c r="B423" s="7" t="s">
        <v>49</v>
      </c>
      <c r="C423" s="48" t="s">
        <v>34</v>
      </c>
      <c r="D423" s="102"/>
      <c r="E423" s="8"/>
      <c r="F423" s="8"/>
      <c r="G423" s="7"/>
      <c r="H423" s="7"/>
      <c r="I423" s="7"/>
      <c r="J423" s="25"/>
      <c r="K423" s="21"/>
      <c r="L423" s="9">
        <f>SUM(K424:K463)</f>
        <v>0</v>
      </c>
    </row>
    <row r="424" spans="1:12" s="37" customFormat="1" x14ac:dyDescent="0.25">
      <c r="A424" s="30" t="str">
        <f>IF(F424&lt;&gt;"",1+MAX($A$7:A423),"")</f>
        <v/>
      </c>
      <c r="B424" s="31"/>
      <c r="C424" s="50"/>
      <c r="D424" s="46"/>
      <c r="E424" s="28"/>
      <c r="F424" s="32"/>
      <c r="G424" s="29"/>
      <c r="H424" s="29"/>
      <c r="I424" s="29"/>
      <c r="J424" s="33"/>
      <c r="K424" s="34"/>
      <c r="L424" s="35"/>
    </row>
    <row r="425" spans="1:12" s="37" customFormat="1" x14ac:dyDescent="0.25">
      <c r="A425" s="30" t="str">
        <f>IF(F425&lt;&gt;"",1+MAX($A$7:A424),"")</f>
        <v/>
      </c>
      <c r="B425" s="31"/>
      <c r="C425" s="49" t="s">
        <v>285</v>
      </c>
      <c r="D425" s="44"/>
      <c r="E425" s="28"/>
      <c r="F425" s="32"/>
      <c r="G425" s="29"/>
      <c r="H425" s="29"/>
      <c r="I425" s="29"/>
      <c r="J425" s="33"/>
      <c r="K425" s="34"/>
      <c r="L425" s="35"/>
    </row>
    <row r="426" spans="1:12" s="37" customFormat="1" x14ac:dyDescent="0.25">
      <c r="A426" s="30">
        <f>IF(F426&lt;&gt;"",1+MAX($A$7:A425),"")</f>
        <v>357</v>
      </c>
      <c r="B426" s="31"/>
      <c r="C426" s="43" t="s">
        <v>276</v>
      </c>
      <c r="D426" s="44">
        <v>12957</v>
      </c>
      <c r="E426" s="28">
        <v>0.1</v>
      </c>
      <c r="F426" s="32">
        <f t="shared" ref="F426:F431" si="80">D426*(1+E426)</f>
        <v>14252.7</v>
      </c>
      <c r="G426" s="29" t="s">
        <v>275</v>
      </c>
      <c r="H426" s="29"/>
      <c r="I426" s="29"/>
      <c r="J426" s="33"/>
      <c r="K426" s="34">
        <f t="shared" ref="K426:K431" si="81">J426*F426</f>
        <v>0</v>
      </c>
      <c r="L426" s="35"/>
    </row>
    <row r="427" spans="1:12" s="37" customFormat="1" x14ac:dyDescent="0.25">
      <c r="A427" s="30">
        <f>IF(F427&lt;&gt;"",1+MAX($A$7:A426),"")</f>
        <v>358</v>
      </c>
      <c r="B427" s="31"/>
      <c r="C427" s="43" t="s">
        <v>277</v>
      </c>
      <c r="D427" s="44">
        <v>12957</v>
      </c>
      <c r="E427" s="28">
        <v>0.1</v>
      </c>
      <c r="F427" s="32">
        <f t="shared" si="80"/>
        <v>14252.7</v>
      </c>
      <c r="G427" s="29" t="s">
        <v>275</v>
      </c>
      <c r="H427" s="29"/>
      <c r="I427" s="29"/>
      <c r="J427" s="33"/>
      <c r="K427" s="34">
        <f t="shared" si="81"/>
        <v>0</v>
      </c>
      <c r="L427" s="35"/>
    </row>
    <row r="428" spans="1:12" s="37" customFormat="1" x14ac:dyDescent="0.25">
      <c r="A428" s="30">
        <f>IF(F428&lt;&gt;"",1+MAX($A$7:A427),"")</f>
        <v>359</v>
      </c>
      <c r="B428" s="31"/>
      <c r="C428" s="43" t="s">
        <v>280</v>
      </c>
      <c r="D428" s="44">
        <v>12957</v>
      </c>
      <c r="E428" s="28">
        <v>0.1</v>
      </c>
      <c r="F428" s="32">
        <f t="shared" si="80"/>
        <v>14252.7</v>
      </c>
      <c r="G428" s="29" t="s">
        <v>275</v>
      </c>
      <c r="H428" s="29"/>
      <c r="I428" s="29"/>
      <c r="J428" s="33"/>
      <c r="K428" s="34">
        <f t="shared" si="81"/>
        <v>0</v>
      </c>
      <c r="L428" s="35"/>
    </row>
    <row r="429" spans="1:12" s="37" customFormat="1" x14ac:dyDescent="0.25">
      <c r="A429" s="30">
        <f>IF(F429&lt;&gt;"",1+MAX($A$7:A428),"")</f>
        <v>360</v>
      </c>
      <c r="B429" s="31"/>
      <c r="C429" s="43" t="s">
        <v>278</v>
      </c>
      <c r="D429" s="44">
        <v>12957</v>
      </c>
      <c r="E429" s="28">
        <v>0.1</v>
      </c>
      <c r="F429" s="32">
        <f t="shared" si="80"/>
        <v>14252.7</v>
      </c>
      <c r="G429" s="29" t="s">
        <v>275</v>
      </c>
      <c r="H429" s="29"/>
      <c r="I429" s="29"/>
      <c r="J429" s="33"/>
      <c r="K429" s="34">
        <f t="shared" si="81"/>
        <v>0</v>
      </c>
      <c r="L429" s="35"/>
    </row>
    <row r="430" spans="1:12" s="37" customFormat="1" x14ac:dyDescent="0.25">
      <c r="A430" s="30">
        <f>IF(F430&lt;&gt;"",1+MAX($A$7:A429),"")</f>
        <v>361</v>
      </c>
      <c r="B430" s="31"/>
      <c r="C430" s="43" t="s">
        <v>279</v>
      </c>
      <c r="D430" s="44">
        <v>12957</v>
      </c>
      <c r="E430" s="28">
        <v>0.1</v>
      </c>
      <c r="F430" s="32">
        <f t="shared" si="80"/>
        <v>14252.7</v>
      </c>
      <c r="G430" s="29" t="s">
        <v>275</v>
      </c>
      <c r="H430" s="29"/>
      <c r="I430" s="29"/>
      <c r="J430" s="33"/>
      <c r="K430" s="34">
        <f t="shared" si="81"/>
        <v>0</v>
      </c>
      <c r="L430" s="35"/>
    </row>
    <row r="431" spans="1:12" s="37" customFormat="1" x14ac:dyDescent="0.25">
      <c r="A431" s="30">
        <f>IF(F431&lt;&gt;"",1+MAX($A$7:A430),"")</f>
        <v>362</v>
      </c>
      <c r="B431" s="31"/>
      <c r="C431" s="43" t="s">
        <v>635</v>
      </c>
      <c r="D431" s="44">
        <v>12957</v>
      </c>
      <c r="E431" s="28">
        <v>0.1</v>
      </c>
      <c r="F431" s="32">
        <f t="shared" si="80"/>
        <v>14252.7</v>
      </c>
      <c r="G431" s="29" t="s">
        <v>275</v>
      </c>
      <c r="H431" s="29"/>
      <c r="I431" s="29"/>
      <c r="J431" s="33"/>
      <c r="K431" s="34">
        <f t="shared" si="81"/>
        <v>0</v>
      </c>
      <c r="L431" s="35"/>
    </row>
    <row r="432" spans="1:12" s="37" customFormat="1" x14ac:dyDescent="0.25">
      <c r="A432" s="30" t="str">
        <f>IF(F432&lt;&gt;"",1+MAX($A$7:A431),"")</f>
        <v/>
      </c>
      <c r="B432" s="31"/>
      <c r="C432" s="43"/>
      <c r="D432" s="44"/>
      <c r="E432" s="28"/>
      <c r="F432" s="32"/>
      <c r="G432" s="29"/>
      <c r="H432" s="29"/>
      <c r="I432" s="29"/>
      <c r="J432" s="33"/>
      <c r="K432" s="34"/>
      <c r="L432" s="35"/>
    </row>
    <row r="433" spans="1:12" s="37" customFormat="1" x14ac:dyDescent="0.25">
      <c r="A433" s="30" t="str">
        <f>IF(F433&lt;&gt;"",1+MAX($A$7:A432),"")</f>
        <v/>
      </c>
      <c r="B433" s="31"/>
      <c r="C433" s="49" t="s">
        <v>286</v>
      </c>
      <c r="D433" s="44"/>
      <c r="E433" s="28"/>
      <c r="F433" s="32"/>
      <c r="G433" s="29"/>
      <c r="H433" s="29"/>
      <c r="I433" s="29"/>
      <c r="J433" s="33"/>
      <c r="K433" s="34"/>
      <c r="L433" s="35"/>
    </row>
    <row r="434" spans="1:12" s="37" customFormat="1" x14ac:dyDescent="0.25">
      <c r="A434" s="30">
        <f>IF(F434&lt;&gt;"",1+MAX($A$7:A433),"")</f>
        <v>363</v>
      </c>
      <c r="B434" s="31"/>
      <c r="C434" s="43" t="s">
        <v>266</v>
      </c>
      <c r="D434" s="44">
        <v>32127</v>
      </c>
      <c r="E434" s="28">
        <v>0.1</v>
      </c>
      <c r="F434" s="32">
        <f t="shared" ref="F434:F439" si="82">D434*(1+E434)</f>
        <v>35339.700000000004</v>
      </c>
      <c r="G434" s="29" t="s">
        <v>275</v>
      </c>
      <c r="H434" s="29"/>
      <c r="I434" s="29"/>
      <c r="J434" s="33"/>
      <c r="K434" s="34">
        <f t="shared" ref="K434:K439" si="83">J434*F434</f>
        <v>0</v>
      </c>
      <c r="L434" s="35"/>
    </row>
    <row r="435" spans="1:12" s="37" customFormat="1" x14ac:dyDescent="0.25">
      <c r="A435" s="30">
        <f>IF(F435&lt;&gt;"",1+MAX($A$7:A434),"")</f>
        <v>364</v>
      </c>
      <c r="B435" s="31"/>
      <c r="C435" s="43" t="s">
        <v>265</v>
      </c>
      <c r="D435" s="44">
        <v>32127</v>
      </c>
      <c r="E435" s="28">
        <v>0.1</v>
      </c>
      <c r="F435" s="32">
        <f t="shared" si="82"/>
        <v>35339.700000000004</v>
      </c>
      <c r="G435" s="29" t="s">
        <v>275</v>
      </c>
      <c r="H435" s="29"/>
      <c r="I435" s="29"/>
      <c r="J435" s="33"/>
      <c r="K435" s="34">
        <f t="shared" si="83"/>
        <v>0</v>
      </c>
      <c r="L435" s="35"/>
    </row>
    <row r="436" spans="1:12" s="37" customFormat="1" x14ac:dyDescent="0.25">
      <c r="A436" s="30">
        <f>IF(F436&lt;&gt;"",1+MAX($A$7:A435),"")</f>
        <v>365</v>
      </c>
      <c r="B436" s="31"/>
      <c r="C436" s="43" t="s">
        <v>280</v>
      </c>
      <c r="D436" s="44">
        <v>32127</v>
      </c>
      <c r="E436" s="28">
        <v>0.1</v>
      </c>
      <c r="F436" s="32">
        <f t="shared" si="82"/>
        <v>35339.700000000004</v>
      </c>
      <c r="G436" s="29" t="s">
        <v>275</v>
      </c>
      <c r="H436" s="29"/>
      <c r="I436" s="29"/>
      <c r="J436" s="33"/>
      <c r="K436" s="34">
        <f t="shared" si="83"/>
        <v>0</v>
      </c>
      <c r="L436" s="35"/>
    </row>
    <row r="437" spans="1:12" s="37" customFormat="1" x14ac:dyDescent="0.25">
      <c r="A437" s="30">
        <f>IF(F437&lt;&gt;"",1+MAX($A$7:A436),"")</f>
        <v>366</v>
      </c>
      <c r="B437" s="31"/>
      <c r="C437" s="43" t="s">
        <v>278</v>
      </c>
      <c r="D437" s="44">
        <v>32127</v>
      </c>
      <c r="E437" s="28">
        <v>0.1</v>
      </c>
      <c r="F437" s="32">
        <f t="shared" si="82"/>
        <v>35339.700000000004</v>
      </c>
      <c r="G437" s="29" t="s">
        <v>275</v>
      </c>
      <c r="H437" s="29"/>
      <c r="I437" s="29"/>
      <c r="J437" s="33"/>
      <c r="K437" s="34">
        <f t="shared" si="83"/>
        <v>0</v>
      </c>
      <c r="L437" s="35"/>
    </row>
    <row r="438" spans="1:12" s="37" customFormat="1" x14ac:dyDescent="0.25">
      <c r="A438" s="30">
        <f>IF(F438&lt;&gt;"",1+MAX($A$7:A437),"")</f>
        <v>367</v>
      </c>
      <c r="B438" s="31"/>
      <c r="C438" s="43" t="s">
        <v>279</v>
      </c>
      <c r="D438" s="44">
        <v>32127</v>
      </c>
      <c r="E438" s="28">
        <v>0.1</v>
      </c>
      <c r="F438" s="32">
        <f t="shared" si="82"/>
        <v>35339.700000000004</v>
      </c>
      <c r="G438" s="29" t="s">
        <v>275</v>
      </c>
      <c r="H438" s="29"/>
      <c r="I438" s="29"/>
      <c r="J438" s="33"/>
      <c r="K438" s="34">
        <f t="shared" si="83"/>
        <v>0</v>
      </c>
      <c r="L438" s="35"/>
    </row>
    <row r="439" spans="1:12" s="37" customFormat="1" x14ac:dyDescent="0.25">
      <c r="A439" s="30">
        <f>IF(F439&lt;&gt;"",1+MAX($A$7:A438),"")</f>
        <v>368</v>
      </c>
      <c r="B439" s="31"/>
      <c r="C439" s="43" t="s">
        <v>635</v>
      </c>
      <c r="D439" s="44">
        <v>32127</v>
      </c>
      <c r="E439" s="28">
        <v>0.1</v>
      </c>
      <c r="F439" s="32">
        <f t="shared" si="82"/>
        <v>35339.700000000004</v>
      </c>
      <c r="G439" s="29" t="s">
        <v>275</v>
      </c>
      <c r="H439" s="29"/>
      <c r="I439" s="29"/>
      <c r="J439" s="33"/>
      <c r="K439" s="34">
        <f t="shared" si="83"/>
        <v>0</v>
      </c>
      <c r="L439" s="35"/>
    </row>
    <row r="440" spans="1:12" s="37" customFormat="1" x14ac:dyDescent="0.25">
      <c r="A440" s="30" t="str">
        <f>IF(F440&lt;&gt;"",1+MAX($A$7:A439),"")</f>
        <v/>
      </c>
      <c r="B440" s="31"/>
      <c r="C440" s="43"/>
      <c r="D440" s="44"/>
      <c r="E440" s="28"/>
      <c r="F440" s="32"/>
      <c r="G440" s="29"/>
      <c r="H440" s="29"/>
      <c r="I440" s="29"/>
      <c r="J440" s="33"/>
      <c r="K440" s="34"/>
      <c r="L440" s="35"/>
    </row>
    <row r="441" spans="1:12" s="37" customFormat="1" x14ac:dyDescent="0.25">
      <c r="A441" s="30" t="str">
        <f>IF(F441&lt;&gt;"",1+MAX($A$7:A440),"")</f>
        <v/>
      </c>
      <c r="B441" s="31"/>
      <c r="C441" s="49" t="s">
        <v>287</v>
      </c>
      <c r="D441" s="44"/>
      <c r="E441" s="28"/>
      <c r="F441" s="32"/>
      <c r="G441" s="29"/>
      <c r="H441" s="29"/>
      <c r="I441" s="29"/>
      <c r="J441" s="33"/>
      <c r="K441" s="34"/>
      <c r="L441" s="35"/>
    </row>
    <row r="442" spans="1:12" s="37" customFormat="1" x14ac:dyDescent="0.25">
      <c r="A442" s="30">
        <f>IF(F442&lt;&gt;"",1+MAX($A$7:A441),"")</f>
        <v>369</v>
      </c>
      <c r="B442" s="31"/>
      <c r="C442" s="43" t="s">
        <v>281</v>
      </c>
      <c r="D442" s="44">
        <v>307</v>
      </c>
      <c r="E442" s="28">
        <v>0.1</v>
      </c>
      <c r="F442" s="32">
        <f t="shared" ref="F442:F446" si="84">D442*(1+E442)</f>
        <v>337.70000000000005</v>
      </c>
      <c r="G442" s="29" t="s">
        <v>275</v>
      </c>
      <c r="H442" s="29"/>
      <c r="I442" s="29"/>
      <c r="J442" s="33"/>
      <c r="K442" s="34">
        <f t="shared" ref="K442:K446" si="85">J442*F442</f>
        <v>0</v>
      </c>
      <c r="L442" s="35"/>
    </row>
    <row r="443" spans="1:12" s="37" customFormat="1" x14ac:dyDescent="0.25">
      <c r="A443" s="30">
        <f>IF(F443&lt;&gt;"",1+MAX($A$7:A442),"")</f>
        <v>370</v>
      </c>
      <c r="B443" s="31"/>
      <c r="C443" s="43" t="s">
        <v>282</v>
      </c>
      <c r="D443" s="44">
        <v>307</v>
      </c>
      <c r="E443" s="28">
        <v>0.1</v>
      </c>
      <c r="F443" s="32">
        <f t="shared" si="84"/>
        <v>337.70000000000005</v>
      </c>
      <c r="G443" s="29" t="s">
        <v>275</v>
      </c>
      <c r="H443" s="29"/>
      <c r="I443" s="29"/>
      <c r="J443" s="33"/>
      <c r="K443" s="34">
        <f t="shared" si="85"/>
        <v>0</v>
      </c>
      <c r="L443" s="35"/>
    </row>
    <row r="444" spans="1:12" s="37" customFormat="1" x14ac:dyDescent="0.25">
      <c r="A444" s="30">
        <f>IF(F444&lt;&gt;"",1+MAX($A$7:A443),"")</f>
        <v>371</v>
      </c>
      <c r="B444" s="31"/>
      <c r="C444" s="43" t="s">
        <v>283</v>
      </c>
      <c r="D444" s="44">
        <v>307</v>
      </c>
      <c r="E444" s="28">
        <v>0.1</v>
      </c>
      <c r="F444" s="32">
        <f t="shared" si="84"/>
        <v>337.70000000000005</v>
      </c>
      <c r="G444" s="29" t="s">
        <v>275</v>
      </c>
      <c r="H444" s="29"/>
      <c r="I444" s="29"/>
      <c r="J444" s="33"/>
      <c r="K444" s="34">
        <f t="shared" si="85"/>
        <v>0</v>
      </c>
      <c r="L444" s="35"/>
    </row>
    <row r="445" spans="1:12" s="37" customFormat="1" x14ac:dyDescent="0.25">
      <c r="A445" s="30">
        <f>IF(F445&lt;&gt;"",1+MAX($A$7:A444),"")</f>
        <v>372</v>
      </c>
      <c r="B445" s="31"/>
      <c r="C445" s="43" t="s">
        <v>280</v>
      </c>
      <c r="D445" s="44">
        <v>307</v>
      </c>
      <c r="E445" s="28">
        <v>0.1</v>
      </c>
      <c r="F445" s="32">
        <f t="shared" si="84"/>
        <v>337.70000000000005</v>
      </c>
      <c r="G445" s="29" t="s">
        <v>275</v>
      </c>
      <c r="H445" s="29"/>
      <c r="I445" s="29"/>
      <c r="J445" s="33"/>
      <c r="K445" s="34">
        <f t="shared" si="85"/>
        <v>0</v>
      </c>
      <c r="L445" s="35"/>
    </row>
    <row r="446" spans="1:12" s="37" customFormat="1" x14ac:dyDescent="0.25">
      <c r="A446" s="30">
        <f>IF(F446&lt;&gt;"",1+MAX($A$7:A445),"")</f>
        <v>373</v>
      </c>
      <c r="B446" s="31"/>
      <c r="C446" s="43" t="s">
        <v>278</v>
      </c>
      <c r="D446" s="44">
        <v>307</v>
      </c>
      <c r="E446" s="28">
        <v>0.1</v>
      </c>
      <c r="F446" s="32">
        <f t="shared" si="84"/>
        <v>337.70000000000005</v>
      </c>
      <c r="G446" s="29" t="s">
        <v>275</v>
      </c>
      <c r="H446" s="29"/>
      <c r="I446" s="29"/>
      <c r="J446" s="33"/>
      <c r="K446" s="34">
        <f t="shared" si="85"/>
        <v>0</v>
      </c>
      <c r="L446" s="35"/>
    </row>
    <row r="447" spans="1:12" s="37" customFormat="1" x14ac:dyDescent="0.25">
      <c r="A447" s="30" t="str">
        <f>IF(F447&lt;&gt;"",1+MAX($A$7:A446),"")</f>
        <v/>
      </c>
      <c r="B447" s="31"/>
      <c r="C447" s="43"/>
      <c r="D447" s="44"/>
      <c r="E447" s="28"/>
      <c r="F447" s="32"/>
      <c r="G447" s="29"/>
      <c r="H447" s="29"/>
      <c r="I447" s="29"/>
      <c r="J447" s="33"/>
      <c r="K447" s="34"/>
      <c r="L447" s="35"/>
    </row>
    <row r="448" spans="1:12" s="37" customFormat="1" x14ac:dyDescent="0.25">
      <c r="A448" s="30" t="str">
        <f>IF(F448&lt;&gt;"",1+MAX($A$7:A447),"")</f>
        <v/>
      </c>
      <c r="B448" s="31"/>
      <c r="C448" s="49" t="s">
        <v>288</v>
      </c>
      <c r="D448" s="44"/>
      <c r="E448" s="28"/>
      <c r="F448" s="32"/>
      <c r="G448" s="29"/>
      <c r="H448" s="29"/>
      <c r="I448" s="29"/>
      <c r="J448" s="33"/>
      <c r="K448" s="34"/>
      <c r="L448" s="35"/>
    </row>
    <row r="449" spans="1:12" s="37" customFormat="1" x14ac:dyDescent="0.25">
      <c r="A449" s="30">
        <f>IF(F449&lt;&gt;"",1+MAX($A$7:A448),"")</f>
        <v>374</v>
      </c>
      <c r="B449" s="31"/>
      <c r="C449" s="43" t="s">
        <v>289</v>
      </c>
      <c r="D449" s="44">
        <v>3919</v>
      </c>
      <c r="E449" s="28">
        <v>0.1</v>
      </c>
      <c r="F449" s="32">
        <f t="shared" ref="F449:F453" si="86">D449*(1+E449)</f>
        <v>4310.9000000000005</v>
      </c>
      <c r="G449" s="29" t="s">
        <v>275</v>
      </c>
      <c r="H449" s="29"/>
      <c r="I449" s="29"/>
      <c r="J449" s="33"/>
      <c r="K449" s="34">
        <f t="shared" ref="K449:K453" si="87">J449*F449</f>
        <v>0</v>
      </c>
      <c r="L449" s="35"/>
    </row>
    <row r="450" spans="1:12" s="37" customFormat="1" x14ac:dyDescent="0.25">
      <c r="A450" s="30">
        <f>IF(F450&lt;&gt;"",1+MAX($A$7:A449),"")</f>
        <v>375</v>
      </c>
      <c r="B450" s="31"/>
      <c r="C450" s="43" t="s">
        <v>290</v>
      </c>
      <c r="D450" s="44">
        <v>3919</v>
      </c>
      <c r="E450" s="28">
        <v>0.1</v>
      </c>
      <c r="F450" s="32">
        <f t="shared" si="86"/>
        <v>4310.9000000000005</v>
      </c>
      <c r="G450" s="29" t="s">
        <v>275</v>
      </c>
      <c r="H450" s="29"/>
      <c r="I450" s="29"/>
      <c r="J450" s="33"/>
      <c r="K450" s="34">
        <f t="shared" si="87"/>
        <v>0</v>
      </c>
      <c r="L450" s="35"/>
    </row>
    <row r="451" spans="1:12" s="37" customFormat="1" x14ac:dyDescent="0.25">
      <c r="A451" s="30">
        <f>IF(F451&lt;&gt;"",1+MAX($A$7:A450),"")</f>
        <v>376</v>
      </c>
      <c r="B451" s="31"/>
      <c r="C451" s="50" t="s">
        <v>284</v>
      </c>
      <c r="D451" s="46">
        <v>3919</v>
      </c>
      <c r="E451" s="28">
        <v>0.1</v>
      </c>
      <c r="F451" s="32">
        <f t="shared" si="86"/>
        <v>4310.9000000000005</v>
      </c>
      <c r="G451" s="29" t="s">
        <v>275</v>
      </c>
      <c r="H451" s="29"/>
      <c r="I451" s="29"/>
      <c r="J451" s="33"/>
      <c r="K451" s="34">
        <f t="shared" si="87"/>
        <v>0</v>
      </c>
      <c r="L451" s="35"/>
    </row>
    <row r="452" spans="1:12" s="37" customFormat="1" x14ac:dyDescent="0.25">
      <c r="A452" s="30">
        <f>IF(F452&lt;&gt;"",1+MAX($A$7:A451),"")</f>
        <v>377</v>
      </c>
      <c r="B452" s="31"/>
      <c r="C452" s="50" t="s">
        <v>280</v>
      </c>
      <c r="D452" s="46">
        <v>3919</v>
      </c>
      <c r="E452" s="28">
        <v>0.1</v>
      </c>
      <c r="F452" s="32">
        <f t="shared" si="86"/>
        <v>4310.9000000000005</v>
      </c>
      <c r="G452" s="29" t="s">
        <v>275</v>
      </c>
      <c r="H452" s="29"/>
      <c r="I452" s="29"/>
      <c r="J452" s="33"/>
      <c r="K452" s="34">
        <f t="shared" si="87"/>
        <v>0</v>
      </c>
      <c r="L452" s="35"/>
    </row>
    <row r="453" spans="1:12" s="37" customFormat="1" x14ac:dyDescent="0.25">
      <c r="A453" s="30">
        <f>IF(F453&lt;&gt;"",1+MAX($A$7:A452),"")</f>
        <v>378</v>
      </c>
      <c r="B453" s="31"/>
      <c r="C453" s="43" t="s">
        <v>283</v>
      </c>
      <c r="D453" s="46">
        <v>3919</v>
      </c>
      <c r="E453" s="28">
        <v>0.1</v>
      </c>
      <c r="F453" s="32">
        <f t="shared" si="86"/>
        <v>4310.9000000000005</v>
      </c>
      <c r="G453" s="29" t="s">
        <v>275</v>
      </c>
      <c r="H453" s="29"/>
      <c r="I453" s="29"/>
      <c r="J453" s="33"/>
      <c r="K453" s="34">
        <f t="shared" si="87"/>
        <v>0</v>
      </c>
      <c r="L453" s="35"/>
    </row>
    <row r="454" spans="1:12" s="37" customFormat="1" x14ac:dyDescent="0.25">
      <c r="A454" s="30" t="str">
        <f>IF(F454&lt;&gt;"",1+MAX($A$7:A453),"")</f>
        <v/>
      </c>
      <c r="B454" s="31"/>
      <c r="C454" s="45"/>
      <c r="D454" s="46"/>
      <c r="E454" s="28"/>
      <c r="F454" s="32"/>
      <c r="G454" s="29"/>
      <c r="H454" s="29"/>
      <c r="I454" s="29"/>
      <c r="J454" s="33"/>
      <c r="K454" s="34"/>
      <c r="L454" s="35"/>
    </row>
    <row r="455" spans="1:12" s="37" customFormat="1" x14ac:dyDescent="0.25">
      <c r="A455" s="30" t="str">
        <f>IF(F455&lt;&gt;"",1+MAX($A$7:A454),"")</f>
        <v/>
      </c>
      <c r="B455" s="31"/>
      <c r="C455" s="45" t="s">
        <v>291</v>
      </c>
      <c r="D455" s="46"/>
      <c r="E455" s="28"/>
      <c r="F455" s="32"/>
      <c r="G455" s="29"/>
      <c r="H455" s="29"/>
      <c r="I455" s="29"/>
      <c r="J455" s="33"/>
      <c r="K455" s="34"/>
      <c r="L455" s="35"/>
    </row>
    <row r="456" spans="1:12" s="37" customFormat="1" x14ac:dyDescent="0.25">
      <c r="A456" s="30">
        <f>IF(F456&lt;&gt;"",1+MAX($A$7:A455),"")</f>
        <v>379</v>
      </c>
      <c r="B456" s="31"/>
      <c r="C456" s="50" t="s">
        <v>292</v>
      </c>
      <c r="D456" s="46">
        <f>4638.13*1.2019</f>
        <v>5574.5684469999997</v>
      </c>
      <c r="E456" s="28">
        <v>0.1</v>
      </c>
      <c r="F456" s="32">
        <f t="shared" ref="F456:F462" si="88">D456*(1+E456)</f>
        <v>6132.0252916999998</v>
      </c>
      <c r="G456" s="29" t="s">
        <v>275</v>
      </c>
      <c r="H456" s="29"/>
      <c r="I456" s="29"/>
      <c r="J456" s="33"/>
      <c r="K456" s="34">
        <f t="shared" ref="K456:K462" si="89">J456*F456</f>
        <v>0</v>
      </c>
      <c r="L456" s="35"/>
    </row>
    <row r="457" spans="1:12" s="37" customFormat="1" x14ac:dyDescent="0.25">
      <c r="A457" s="30">
        <f>IF(F457&lt;&gt;"",1+MAX($A$7:A456),"")</f>
        <v>380</v>
      </c>
      <c r="B457" s="31"/>
      <c r="C457" s="50" t="s">
        <v>293</v>
      </c>
      <c r="D457" s="46">
        <f t="shared" ref="D457:D462" si="90">4638.13*1.2019</f>
        <v>5574.5684469999997</v>
      </c>
      <c r="E457" s="28">
        <v>0.1</v>
      </c>
      <c r="F457" s="32">
        <f t="shared" si="88"/>
        <v>6132.0252916999998</v>
      </c>
      <c r="G457" s="29" t="s">
        <v>275</v>
      </c>
      <c r="H457" s="29"/>
      <c r="I457" s="29"/>
      <c r="J457" s="33"/>
      <c r="K457" s="34">
        <f t="shared" si="89"/>
        <v>0</v>
      </c>
      <c r="L457" s="35"/>
    </row>
    <row r="458" spans="1:12" s="37" customFormat="1" x14ac:dyDescent="0.25">
      <c r="A458" s="30">
        <f>IF(F458&lt;&gt;"",1+MAX($A$7:A457),"")</f>
        <v>381</v>
      </c>
      <c r="B458" s="31"/>
      <c r="C458" s="50" t="s">
        <v>265</v>
      </c>
      <c r="D458" s="46">
        <f t="shared" si="90"/>
        <v>5574.5684469999997</v>
      </c>
      <c r="E458" s="28">
        <v>0.1</v>
      </c>
      <c r="F458" s="32">
        <f t="shared" si="88"/>
        <v>6132.0252916999998</v>
      </c>
      <c r="G458" s="29" t="s">
        <v>275</v>
      </c>
      <c r="H458" s="29"/>
      <c r="I458" s="29"/>
      <c r="J458" s="33"/>
      <c r="K458" s="34">
        <f t="shared" si="89"/>
        <v>0</v>
      </c>
      <c r="L458" s="35"/>
    </row>
    <row r="459" spans="1:12" s="37" customFormat="1" x14ac:dyDescent="0.25">
      <c r="A459" s="30">
        <f>IF(F459&lt;&gt;"",1+MAX($A$7:A458),"")</f>
        <v>382</v>
      </c>
      <c r="B459" s="31"/>
      <c r="C459" s="50" t="s">
        <v>280</v>
      </c>
      <c r="D459" s="46">
        <f t="shared" si="90"/>
        <v>5574.5684469999997</v>
      </c>
      <c r="E459" s="28">
        <v>0.1</v>
      </c>
      <c r="F459" s="32">
        <f t="shared" si="88"/>
        <v>6132.0252916999998</v>
      </c>
      <c r="G459" s="29" t="s">
        <v>275</v>
      </c>
      <c r="H459" s="29"/>
      <c r="I459" s="29"/>
      <c r="J459" s="33"/>
      <c r="K459" s="34">
        <f t="shared" si="89"/>
        <v>0</v>
      </c>
      <c r="L459" s="35"/>
    </row>
    <row r="460" spans="1:12" s="37" customFormat="1" x14ac:dyDescent="0.25">
      <c r="A460" s="30">
        <f>IF(F460&lt;&gt;"",1+MAX($A$7:A459),"")</f>
        <v>383</v>
      </c>
      <c r="B460" s="31"/>
      <c r="C460" s="50" t="s">
        <v>278</v>
      </c>
      <c r="D460" s="46">
        <f t="shared" si="90"/>
        <v>5574.5684469999997</v>
      </c>
      <c r="E460" s="28">
        <v>0.1</v>
      </c>
      <c r="F460" s="32">
        <f t="shared" si="88"/>
        <v>6132.0252916999998</v>
      </c>
      <c r="G460" s="29" t="s">
        <v>275</v>
      </c>
      <c r="H460" s="29"/>
      <c r="I460" s="29"/>
      <c r="J460" s="33"/>
      <c r="K460" s="34">
        <f t="shared" si="89"/>
        <v>0</v>
      </c>
      <c r="L460" s="35"/>
    </row>
    <row r="461" spans="1:12" s="37" customFormat="1" x14ac:dyDescent="0.25">
      <c r="A461" s="30">
        <f>IF(F461&lt;&gt;"",1+MAX($A$7:A460),"")</f>
        <v>384</v>
      </c>
      <c r="B461" s="31"/>
      <c r="C461" s="50" t="s">
        <v>294</v>
      </c>
      <c r="D461" s="46">
        <f t="shared" si="90"/>
        <v>5574.5684469999997</v>
      </c>
      <c r="E461" s="28">
        <v>0.1</v>
      </c>
      <c r="F461" s="32">
        <f t="shared" si="88"/>
        <v>6132.0252916999998</v>
      </c>
      <c r="G461" s="29" t="s">
        <v>275</v>
      </c>
      <c r="H461" s="29"/>
      <c r="I461" s="29"/>
      <c r="J461" s="33"/>
      <c r="K461" s="34">
        <f t="shared" si="89"/>
        <v>0</v>
      </c>
      <c r="L461" s="35"/>
    </row>
    <row r="462" spans="1:12" s="37" customFormat="1" x14ac:dyDescent="0.25">
      <c r="A462" s="30">
        <f>IF(F462&lt;&gt;"",1+MAX($A$7:A461),"")</f>
        <v>385</v>
      </c>
      <c r="B462" s="31"/>
      <c r="C462" s="43" t="s">
        <v>635</v>
      </c>
      <c r="D462" s="46">
        <f t="shared" si="90"/>
        <v>5574.5684469999997</v>
      </c>
      <c r="E462" s="28">
        <v>0.1</v>
      </c>
      <c r="F462" s="32">
        <f t="shared" si="88"/>
        <v>6132.0252916999998</v>
      </c>
      <c r="G462" s="29" t="s">
        <v>275</v>
      </c>
      <c r="H462" s="29"/>
      <c r="I462" s="29"/>
      <c r="J462" s="33"/>
      <c r="K462" s="34">
        <f t="shared" si="89"/>
        <v>0</v>
      </c>
      <c r="L462" s="35"/>
    </row>
    <row r="463" spans="1:12" s="37" customFormat="1" ht="15.75" thickBot="1" x14ac:dyDescent="0.3">
      <c r="A463" s="30" t="str">
        <f>IF(F463&lt;&gt;"",1+MAX($A$7:A462),"")</f>
        <v/>
      </c>
      <c r="B463" s="31"/>
      <c r="C463" s="45"/>
      <c r="D463" s="46"/>
      <c r="E463" s="28"/>
      <c r="F463" s="32"/>
      <c r="G463" s="29"/>
      <c r="H463" s="29"/>
      <c r="I463" s="29"/>
      <c r="J463" s="33"/>
      <c r="K463" s="34"/>
      <c r="L463" s="35"/>
    </row>
    <row r="464" spans="1:12" ht="15.75" thickBot="1" x14ac:dyDescent="0.3">
      <c r="A464" s="99" t="str">
        <f>IF(F464&lt;&gt;"",1+MAX($A$7:A463),"")</f>
        <v/>
      </c>
      <c r="B464" s="7" t="s">
        <v>50</v>
      </c>
      <c r="C464" s="48" t="s">
        <v>35</v>
      </c>
      <c r="D464" s="102"/>
      <c r="E464" s="8"/>
      <c r="F464" s="8"/>
      <c r="G464" s="7"/>
      <c r="H464" s="7"/>
      <c r="I464" s="7"/>
      <c r="J464" s="25"/>
      <c r="K464" s="21"/>
      <c r="L464" s="9">
        <f>SUM(K465:K549)</f>
        <v>0</v>
      </c>
    </row>
    <row r="465" spans="1:12" s="37" customFormat="1" x14ac:dyDescent="0.25">
      <c r="A465" s="30" t="str">
        <f>IF(F465&lt;&gt;"",1+MAX($A$7:A464),"")</f>
        <v/>
      </c>
      <c r="B465" s="31"/>
      <c r="C465" s="50"/>
      <c r="D465" s="46"/>
      <c r="E465" s="28"/>
      <c r="F465" s="32"/>
      <c r="G465" s="29"/>
      <c r="H465" s="29"/>
      <c r="I465" s="29"/>
      <c r="J465" s="33"/>
      <c r="K465" s="34"/>
      <c r="L465" s="35"/>
    </row>
    <row r="466" spans="1:12" s="37" customFormat="1" x14ac:dyDescent="0.25">
      <c r="A466" s="30" t="str">
        <f>IF(F466&lt;&gt;"",1+MAX($A$7:A465),"")</f>
        <v/>
      </c>
      <c r="B466" s="31"/>
      <c r="C466" s="45" t="s">
        <v>443</v>
      </c>
      <c r="D466" s="46"/>
      <c r="E466" s="28"/>
      <c r="F466" s="32"/>
      <c r="G466" s="29"/>
      <c r="H466" s="29"/>
      <c r="I466" s="29"/>
      <c r="J466" s="33"/>
      <c r="K466" s="34"/>
      <c r="L466" s="35"/>
    </row>
    <row r="467" spans="1:12" s="37" customFormat="1" x14ac:dyDescent="0.25">
      <c r="A467" s="30">
        <f>IF(F467&lt;&gt;"",1+MAX($A$7:A466),"")</f>
        <v>386</v>
      </c>
      <c r="B467" s="31"/>
      <c r="C467" s="37" t="s">
        <v>740</v>
      </c>
      <c r="D467" s="46">
        <v>1</v>
      </c>
      <c r="E467" s="28">
        <v>0</v>
      </c>
      <c r="F467" s="32">
        <f t="shared" ref="F467:F490" si="91">D467*(1+E467)</f>
        <v>1</v>
      </c>
      <c r="G467" s="29" t="s">
        <v>66</v>
      </c>
      <c r="H467" s="29"/>
      <c r="I467" s="29"/>
      <c r="J467" s="33"/>
      <c r="K467" s="34">
        <f t="shared" ref="K467:K490" si="92">J467*F467</f>
        <v>0</v>
      </c>
      <c r="L467" s="35"/>
    </row>
    <row r="468" spans="1:12" s="37" customFormat="1" x14ac:dyDescent="0.25">
      <c r="A468" s="30">
        <f>IF(F468&lt;&gt;"",1+MAX($A$7:A467),"")</f>
        <v>387</v>
      </c>
      <c r="B468" s="31"/>
      <c r="C468" s="37" t="s">
        <v>741</v>
      </c>
      <c r="D468" s="46">
        <v>2</v>
      </c>
      <c r="E468" s="28">
        <v>0</v>
      </c>
      <c r="F468" s="32">
        <f t="shared" si="91"/>
        <v>2</v>
      </c>
      <c r="G468" s="29" t="s">
        <v>66</v>
      </c>
      <c r="H468" s="29"/>
      <c r="I468" s="29"/>
      <c r="J468" s="33"/>
      <c r="K468" s="34">
        <f t="shared" si="92"/>
        <v>0</v>
      </c>
      <c r="L468" s="35"/>
    </row>
    <row r="469" spans="1:12" s="37" customFormat="1" x14ac:dyDescent="0.25">
      <c r="A469" s="30">
        <f>IF(F469&lt;&gt;"",1+MAX($A$7:A468),"")</f>
        <v>388</v>
      </c>
      <c r="B469" s="31"/>
      <c r="C469" s="37" t="s">
        <v>742</v>
      </c>
      <c r="D469" s="46">
        <v>1</v>
      </c>
      <c r="E469" s="28">
        <v>0</v>
      </c>
      <c r="F469" s="32">
        <f t="shared" si="91"/>
        <v>1</v>
      </c>
      <c r="G469" s="29" t="s">
        <v>66</v>
      </c>
      <c r="H469" s="29"/>
      <c r="I469" s="29"/>
      <c r="J469" s="33"/>
      <c r="K469" s="34">
        <f t="shared" si="92"/>
        <v>0</v>
      </c>
      <c r="L469" s="35"/>
    </row>
    <row r="470" spans="1:12" s="37" customFormat="1" x14ac:dyDescent="0.25">
      <c r="A470" s="30">
        <f>IF(F470&lt;&gt;"",1+MAX($A$7:A469),"")</f>
        <v>389</v>
      </c>
      <c r="B470" s="31"/>
      <c r="C470" s="37" t="s">
        <v>955</v>
      </c>
      <c r="D470" s="46">
        <v>13</v>
      </c>
      <c r="E470" s="28">
        <v>0</v>
      </c>
      <c r="F470" s="32">
        <f t="shared" si="91"/>
        <v>13</v>
      </c>
      <c r="G470" s="29" t="s">
        <v>66</v>
      </c>
      <c r="H470" s="29"/>
      <c r="I470" s="29"/>
      <c r="J470" s="33"/>
      <c r="K470" s="34">
        <f t="shared" si="92"/>
        <v>0</v>
      </c>
      <c r="L470" s="35"/>
    </row>
    <row r="471" spans="1:12" s="37" customFormat="1" x14ac:dyDescent="0.25">
      <c r="A471" s="30">
        <f>IF(F471&lt;&gt;"",1+MAX($A$7:A470),"")</f>
        <v>390</v>
      </c>
      <c r="B471" s="31"/>
      <c r="C471" s="37" t="s">
        <v>743</v>
      </c>
      <c r="D471" s="46">
        <v>10</v>
      </c>
      <c r="E471" s="28">
        <v>0</v>
      </c>
      <c r="F471" s="32">
        <f t="shared" si="91"/>
        <v>10</v>
      </c>
      <c r="G471" s="29" t="s">
        <v>66</v>
      </c>
      <c r="H471" s="29"/>
      <c r="I471" s="29"/>
      <c r="J471" s="33"/>
      <c r="K471" s="34">
        <f t="shared" si="92"/>
        <v>0</v>
      </c>
      <c r="L471" s="35"/>
    </row>
    <row r="472" spans="1:12" s="37" customFormat="1" x14ac:dyDescent="0.25">
      <c r="A472" s="30">
        <f>IF(F472&lt;&gt;"",1+MAX($A$7:A471),"")</f>
        <v>391</v>
      </c>
      <c r="B472" s="31"/>
      <c r="C472" s="37" t="s">
        <v>956</v>
      </c>
      <c r="D472" s="46">
        <v>11</v>
      </c>
      <c r="E472" s="28">
        <v>0</v>
      </c>
      <c r="F472" s="32">
        <f t="shared" si="91"/>
        <v>11</v>
      </c>
      <c r="G472" s="29" t="s">
        <v>66</v>
      </c>
      <c r="H472" s="29"/>
      <c r="I472" s="29"/>
      <c r="J472" s="33"/>
      <c r="K472" s="34">
        <f t="shared" si="92"/>
        <v>0</v>
      </c>
      <c r="L472" s="35"/>
    </row>
    <row r="473" spans="1:12" s="37" customFormat="1" x14ac:dyDescent="0.25">
      <c r="A473" s="30">
        <f>IF(F473&lt;&gt;"",1+MAX($A$7:A472),"")</f>
        <v>392</v>
      </c>
      <c r="B473" s="31"/>
      <c r="C473" s="37" t="s">
        <v>878</v>
      </c>
      <c r="D473" s="46">
        <v>44</v>
      </c>
      <c r="E473" s="28">
        <v>0</v>
      </c>
      <c r="F473" s="32">
        <f t="shared" si="91"/>
        <v>44</v>
      </c>
      <c r="G473" s="29" t="s">
        <v>66</v>
      </c>
      <c r="H473" s="29"/>
      <c r="I473" s="29"/>
      <c r="J473" s="33"/>
      <c r="K473" s="34">
        <f t="shared" si="92"/>
        <v>0</v>
      </c>
      <c r="L473" s="35"/>
    </row>
    <row r="474" spans="1:12" s="37" customFormat="1" x14ac:dyDescent="0.25">
      <c r="A474" s="30">
        <f>IF(F474&lt;&gt;"",1+MAX($A$7:A473),"")</f>
        <v>393</v>
      </c>
      <c r="B474" s="31"/>
      <c r="C474" s="37" t="s">
        <v>879</v>
      </c>
      <c r="D474" s="46">
        <v>2</v>
      </c>
      <c r="E474" s="28">
        <v>0</v>
      </c>
      <c r="F474" s="32">
        <f t="shared" si="91"/>
        <v>2</v>
      </c>
      <c r="G474" s="29" t="s">
        <v>66</v>
      </c>
      <c r="H474" s="29"/>
      <c r="I474" s="29"/>
      <c r="J474" s="33"/>
      <c r="K474" s="34">
        <f t="shared" si="92"/>
        <v>0</v>
      </c>
      <c r="L474" s="35"/>
    </row>
    <row r="475" spans="1:12" s="37" customFormat="1" x14ac:dyDescent="0.25">
      <c r="A475" s="30">
        <f>IF(F475&lt;&gt;"",1+MAX($A$7:A474),"")</f>
        <v>394</v>
      </c>
      <c r="B475" s="31"/>
      <c r="C475" s="37" t="s">
        <v>744</v>
      </c>
      <c r="D475" s="46">
        <v>1</v>
      </c>
      <c r="E475" s="28">
        <v>0</v>
      </c>
      <c r="F475" s="32">
        <f t="shared" si="91"/>
        <v>1</v>
      </c>
      <c r="G475" s="29" t="s">
        <v>66</v>
      </c>
      <c r="H475" s="29"/>
      <c r="I475" s="29"/>
      <c r="J475" s="33"/>
      <c r="K475" s="34">
        <f t="shared" si="92"/>
        <v>0</v>
      </c>
      <c r="L475" s="35"/>
    </row>
    <row r="476" spans="1:12" s="37" customFormat="1" x14ac:dyDescent="0.25">
      <c r="A476" s="30">
        <f>IF(F476&lt;&gt;"",1+MAX($A$7:A475),"")</f>
        <v>395</v>
      </c>
      <c r="B476" s="31"/>
      <c r="C476" s="37" t="s">
        <v>880</v>
      </c>
      <c r="D476" s="46">
        <v>5</v>
      </c>
      <c r="E476" s="28">
        <v>0</v>
      </c>
      <c r="F476" s="32">
        <f t="shared" si="91"/>
        <v>5</v>
      </c>
      <c r="G476" s="29" t="s">
        <v>66</v>
      </c>
      <c r="H476" s="29"/>
      <c r="I476" s="29"/>
      <c r="J476" s="33"/>
      <c r="K476" s="34">
        <f t="shared" si="92"/>
        <v>0</v>
      </c>
      <c r="L476" s="35"/>
    </row>
    <row r="477" spans="1:12" s="37" customFormat="1" x14ac:dyDescent="0.25">
      <c r="A477" s="30">
        <f>IF(F477&lt;&gt;"",1+MAX($A$7:A476),"")</f>
        <v>396</v>
      </c>
      <c r="B477" s="31"/>
      <c r="C477" s="37" t="s">
        <v>745</v>
      </c>
      <c r="D477" s="46">
        <v>8</v>
      </c>
      <c r="E477" s="28">
        <v>0</v>
      </c>
      <c r="F477" s="32">
        <f t="shared" si="91"/>
        <v>8</v>
      </c>
      <c r="G477" s="29" t="s">
        <v>66</v>
      </c>
      <c r="H477" s="29"/>
      <c r="I477" s="29"/>
      <c r="J477" s="33"/>
      <c r="K477" s="34">
        <f t="shared" si="92"/>
        <v>0</v>
      </c>
      <c r="L477" s="35"/>
    </row>
    <row r="478" spans="1:12" s="37" customFormat="1" x14ac:dyDescent="0.25">
      <c r="A478" s="30">
        <f>IF(F478&lt;&gt;"",1+MAX($A$7:A477),"")</f>
        <v>397</v>
      </c>
      <c r="B478" s="31"/>
      <c r="C478" s="37" t="s">
        <v>746</v>
      </c>
      <c r="D478" s="46">
        <v>2</v>
      </c>
      <c r="E478" s="28">
        <v>0</v>
      </c>
      <c r="F478" s="32">
        <f t="shared" si="91"/>
        <v>2</v>
      </c>
      <c r="G478" s="29" t="s">
        <v>66</v>
      </c>
      <c r="H478" s="29"/>
      <c r="I478" s="29"/>
      <c r="J478" s="33"/>
      <c r="K478" s="34">
        <f t="shared" si="92"/>
        <v>0</v>
      </c>
      <c r="L478" s="35"/>
    </row>
    <row r="479" spans="1:12" s="37" customFormat="1" x14ac:dyDescent="0.25">
      <c r="A479" s="30">
        <f>IF(F479&lt;&gt;"",1+MAX($A$7:A478),"")</f>
        <v>398</v>
      </c>
      <c r="B479" s="31"/>
      <c r="C479" s="37" t="s">
        <v>747</v>
      </c>
      <c r="D479" s="46">
        <v>9</v>
      </c>
      <c r="E479" s="28">
        <v>0</v>
      </c>
      <c r="F479" s="32">
        <f t="shared" si="91"/>
        <v>9</v>
      </c>
      <c r="G479" s="29" t="s">
        <v>66</v>
      </c>
      <c r="H479" s="29"/>
      <c r="I479" s="29"/>
      <c r="J479" s="33"/>
      <c r="K479" s="34">
        <f t="shared" si="92"/>
        <v>0</v>
      </c>
      <c r="L479" s="35"/>
    </row>
    <row r="480" spans="1:12" s="37" customFormat="1" x14ac:dyDescent="0.25">
      <c r="A480" s="30">
        <f>IF(F480&lt;&gt;"",1+MAX($A$7:A479),"")</f>
        <v>399</v>
      </c>
      <c r="B480" s="31"/>
      <c r="C480" s="37" t="s">
        <v>748</v>
      </c>
      <c r="D480" s="46">
        <v>1</v>
      </c>
      <c r="E480" s="28">
        <v>0</v>
      </c>
      <c r="F480" s="32">
        <f t="shared" si="91"/>
        <v>1</v>
      </c>
      <c r="G480" s="29" t="s">
        <v>66</v>
      </c>
      <c r="H480" s="29"/>
      <c r="I480" s="29"/>
      <c r="J480" s="33"/>
      <c r="K480" s="34">
        <f t="shared" si="92"/>
        <v>0</v>
      </c>
      <c r="L480" s="35"/>
    </row>
    <row r="481" spans="1:12" s="37" customFormat="1" x14ac:dyDescent="0.25">
      <c r="A481" s="30">
        <f>IF(F481&lt;&gt;"",1+MAX($A$7:A480),"")</f>
        <v>400</v>
      </c>
      <c r="B481" s="31"/>
      <c r="C481" s="37" t="s">
        <v>881</v>
      </c>
      <c r="D481" s="46">
        <v>2</v>
      </c>
      <c r="E481" s="28">
        <v>0</v>
      </c>
      <c r="F481" s="32">
        <f t="shared" si="91"/>
        <v>2</v>
      </c>
      <c r="G481" s="29" t="s">
        <v>66</v>
      </c>
      <c r="H481" s="29"/>
      <c r="I481" s="29"/>
      <c r="J481" s="33"/>
      <c r="K481" s="34">
        <f t="shared" si="92"/>
        <v>0</v>
      </c>
      <c r="L481" s="35"/>
    </row>
    <row r="482" spans="1:12" s="37" customFormat="1" x14ac:dyDescent="0.25">
      <c r="A482" s="30">
        <f>IF(F482&lt;&gt;"",1+MAX($A$7:A481),"")</f>
        <v>401</v>
      </c>
      <c r="B482" s="31"/>
      <c r="C482" s="37" t="s">
        <v>749</v>
      </c>
      <c r="D482" s="46">
        <v>3</v>
      </c>
      <c r="E482" s="28">
        <v>0</v>
      </c>
      <c r="F482" s="32">
        <f t="shared" si="91"/>
        <v>3</v>
      </c>
      <c r="G482" s="29" t="s">
        <v>66</v>
      </c>
      <c r="H482" s="29"/>
      <c r="I482" s="29"/>
      <c r="J482" s="33"/>
      <c r="K482" s="34">
        <f t="shared" si="92"/>
        <v>0</v>
      </c>
      <c r="L482" s="35"/>
    </row>
    <row r="483" spans="1:12" s="37" customFormat="1" x14ac:dyDescent="0.25">
      <c r="A483" s="30">
        <f>IF(F483&lt;&gt;"",1+MAX($A$7:A482),"")</f>
        <v>402</v>
      </c>
      <c r="B483" s="31"/>
      <c r="C483" s="37" t="s">
        <v>750</v>
      </c>
      <c r="D483" s="46">
        <v>5</v>
      </c>
      <c r="E483" s="28">
        <v>0</v>
      </c>
      <c r="F483" s="32">
        <f t="shared" si="91"/>
        <v>5</v>
      </c>
      <c r="G483" s="29" t="s">
        <v>66</v>
      </c>
      <c r="H483" s="29"/>
      <c r="I483" s="29"/>
      <c r="J483" s="33"/>
      <c r="K483" s="34">
        <f t="shared" si="92"/>
        <v>0</v>
      </c>
      <c r="L483" s="35"/>
    </row>
    <row r="484" spans="1:12" s="37" customFormat="1" x14ac:dyDescent="0.25">
      <c r="A484" s="30">
        <f>IF(F484&lt;&gt;"",1+MAX($A$7:A483),"")</f>
        <v>403</v>
      </c>
      <c r="B484" s="31"/>
      <c r="C484" s="37" t="s">
        <v>751</v>
      </c>
      <c r="D484" s="46">
        <v>1</v>
      </c>
      <c r="E484" s="28">
        <v>0</v>
      </c>
      <c r="F484" s="32">
        <f t="shared" si="91"/>
        <v>1</v>
      </c>
      <c r="G484" s="29" t="s">
        <v>66</v>
      </c>
      <c r="H484" s="29"/>
      <c r="I484" s="29"/>
      <c r="J484" s="33"/>
      <c r="K484" s="34">
        <f t="shared" si="92"/>
        <v>0</v>
      </c>
      <c r="L484" s="35"/>
    </row>
    <row r="485" spans="1:12" s="37" customFormat="1" x14ac:dyDescent="0.25">
      <c r="A485" s="30">
        <f>IF(F485&lt;&gt;"",1+MAX($A$7:A484),"")</f>
        <v>404</v>
      </c>
      <c r="B485" s="31"/>
      <c r="C485" s="37" t="s">
        <v>752</v>
      </c>
      <c r="D485" s="46">
        <v>1</v>
      </c>
      <c r="E485" s="28">
        <v>0</v>
      </c>
      <c r="F485" s="32">
        <f t="shared" si="91"/>
        <v>1</v>
      </c>
      <c r="G485" s="29" t="s">
        <v>66</v>
      </c>
      <c r="H485" s="29"/>
      <c r="I485" s="29"/>
      <c r="J485" s="33"/>
      <c r="K485" s="34">
        <f t="shared" si="92"/>
        <v>0</v>
      </c>
      <c r="L485" s="35"/>
    </row>
    <row r="486" spans="1:12" s="37" customFormat="1" x14ac:dyDescent="0.25">
      <c r="A486" s="30">
        <f>IF(F486&lt;&gt;"",1+MAX($A$7:A485),"")</f>
        <v>405</v>
      </c>
      <c r="B486" s="31"/>
      <c r="C486" s="37" t="s">
        <v>753</v>
      </c>
      <c r="D486" s="46">
        <v>1</v>
      </c>
      <c r="E486" s="28">
        <v>0</v>
      </c>
      <c r="F486" s="32">
        <f t="shared" si="91"/>
        <v>1</v>
      </c>
      <c r="G486" s="29" t="s">
        <v>66</v>
      </c>
      <c r="H486" s="29"/>
      <c r="I486" s="29"/>
      <c r="J486" s="33"/>
      <c r="K486" s="34">
        <f t="shared" si="92"/>
        <v>0</v>
      </c>
      <c r="L486" s="35"/>
    </row>
    <row r="487" spans="1:12" s="37" customFormat="1" x14ac:dyDescent="0.25">
      <c r="A487" s="30">
        <f>IF(F487&lt;&gt;"",1+MAX($A$7:A486),"")</f>
        <v>406</v>
      </c>
      <c r="B487" s="31"/>
      <c r="C487" s="37" t="s">
        <v>754</v>
      </c>
      <c r="D487" s="46">
        <v>1</v>
      </c>
      <c r="E487" s="28">
        <v>0</v>
      </c>
      <c r="F487" s="32">
        <f t="shared" si="91"/>
        <v>1</v>
      </c>
      <c r="G487" s="29" t="s">
        <v>66</v>
      </c>
      <c r="H487" s="29"/>
      <c r="I487" s="29"/>
      <c r="J487" s="33"/>
      <c r="K487" s="34">
        <f t="shared" si="92"/>
        <v>0</v>
      </c>
      <c r="L487" s="35"/>
    </row>
    <row r="488" spans="1:12" s="37" customFormat="1" x14ac:dyDescent="0.25">
      <c r="A488" s="30">
        <f>IF(F488&lt;&gt;"",1+MAX($A$7:A487),"")</f>
        <v>407</v>
      </c>
      <c r="B488" s="31"/>
      <c r="C488" s="37" t="s">
        <v>755</v>
      </c>
      <c r="D488" s="46">
        <v>1</v>
      </c>
      <c r="E488" s="28">
        <v>0</v>
      </c>
      <c r="F488" s="32">
        <f t="shared" si="91"/>
        <v>1</v>
      </c>
      <c r="G488" s="29" t="s">
        <v>66</v>
      </c>
      <c r="H488" s="29"/>
      <c r="I488" s="29"/>
      <c r="J488" s="33"/>
      <c r="K488" s="34">
        <f t="shared" si="92"/>
        <v>0</v>
      </c>
      <c r="L488" s="35"/>
    </row>
    <row r="489" spans="1:12" s="37" customFormat="1" x14ac:dyDescent="0.25">
      <c r="A489" s="30">
        <f>IF(F489&lt;&gt;"",1+MAX($A$7:A488),"")</f>
        <v>408</v>
      </c>
      <c r="B489" s="31"/>
      <c r="C489" s="37" t="s">
        <v>756</v>
      </c>
      <c r="D489" s="46">
        <v>4</v>
      </c>
      <c r="E489" s="28">
        <v>0</v>
      </c>
      <c r="F489" s="32">
        <f t="shared" si="91"/>
        <v>4</v>
      </c>
      <c r="G489" s="29" t="s">
        <v>66</v>
      </c>
      <c r="H489" s="29"/>
      <c r="I489" s="29"/>
      <c r="J489" s="33"/>
      <c r="K489" s="34">
        <f t="shared" si="92"/>
        <v>0</v>
      </c>
      <c r="L489" s="35"/>
    </row>
    <row r="490" spans="1:12" s="37" customFormat="1" x14ac:dyDescent="0.25">
      <c r="A490" s="30">
        <f>IF(F490&lt;&gt;"",1+MAX($A$7:A489),"")</f>
        <v>409</v>
      </c>
      <c r="B490" s="31"/>
      <c r="C490" s="37" t="s">
        <v>757</v>
      </c>
      <c r="D490" s="46">
        <v>1</v>
      </c>
      <c r="E490" s="28">
        <v>0</v>
      </c>
      <c r="F490" s="32">
        <f t="shared" si="91"/>
        <v>1</v>
      </c>
      <c r="G490" s="29" t="s">
        <v>66</v>
      </c>
      <c r="H490" s="29"/>
      <c r="I490" s="29"/>
      <c r="J490" s="33"/>
      <c r="K490" s="34">
        <f t="shared" si="92"/>
        <v>0</v>
      </c>
      <c r="L490" s="35"/>
    </row>
    <row r="491" spans="1:12" s="37" customFormat="1" x14ac:dyDescent="0.25">
      <c r="A491" s="30" t="str">
        <f>IF(F491&lt;&gt;"",1+MAX($A$7:A490),"")</f>
        <v/>
      </c>
      <c r="B491" s="31"/>
      <c r="C491" s="45"/>
      <c r="D491" s="46"/>
      <c r="E491" s="28"/>
      <c r="F491" s="32"/>
      <c r="G491" s="29"/>
      <c r="H491" s="29"/>
      <c r="I491" s="29"/>
      <c r="J491" s="33"/>
      <c r="K491" s="34"/>
      <c r="L491" s="35"/>
    </row>
    <row r="492" spans="1:12" s="37" customFormat="1" x14ac:dyDescent="0.25">
      <c r="A492" s="30" t="str">
        <f>IF(F492&lt;&gt;"",1+MAX($A$7:A491),"")</f>
        <v/>
      </c>
      <c r="B492" s="31"/>
      <c r="C492" s="45" t="s">
        <v>444</v>
      </c>
      <c r="D492" s="46"/>
      <c r="E492" s="28"/>
      <c r="F492" s="32"/>
      <c r="G492" s="29"/>
      <c r="H492" s="29"/>
      <c r="I492" s="29"/>
      <c r="J492" s="33"/>
      <c r="K492" s="34"/>
      <c r="L492" s="35"/>
    </row>
    <row r="493" spans="1:12" s="37" customFormat="1" x14ac:dyDescent="0.25">
      <c r="A493" s="30">
        <f>IF(F493&lt;&gt;"",1+MAX($A$7:A492),"")</f>
        <v>410</v>
      </c>
      <c r="B493" s="31"/>
      <c r="C493" s="50" t="s">
        <v>451</v>
      </c>
      <c r="D493" s="46">
        <v>1</v>
      </c>
      <c r="E493" s="28">
        <v>0</v>
      </c>
      <c r="F493" s="32">
        <f t="shared" ref="F493" si="93">D493*(1+E493)</f>
        <v>1</v>
      </c>
      <c r="G493" s="29" t="s">
        <v>66</v>
      </c>
      <c r="H493" s="29"/>
      <c r="I493" s="29"/>
      <c r="J493" s="33"/>
      <c r="K493" s="34">
        <f t="shared" ref="K493" si="94">J493*F493</f>
        <v>0</v>
      </c>
      <c r="L493" s="35"/>
    </row>
    <row r="494" spans="1:12" s="37" customFormat="1" x14ac:dyDescent="0.25">
      <c r="A494" s="30">
        <f>IF(F494&lt;&gt;"",1+MAX($A$7:A493),"")</f>
        <v>411</v>
      </c>
      <c r="B494" s="31"/>
      <c r="C494" s="50" t="s">
        <v>452</v>
      </c>
      <c r="D494" s="46">
        <v>1</v>
      </c>
      <c r="E494" s="28">
        <v>0</v>
      </c>
      <c r="F494" s="32">
        <f t="shared" ref="F494:F505" si="95">D494*(1+E494)</f>
        <v>1</v>
      </c>
      <c r="G494" s="29" t="s">
        <v>66</v>
      </c>
      <c r="H494" s="29"/>
      <c r="I494" s="29"/>
      <c r="J494" s="33"/>
      <c r="K494" s="34">
        <f t="shared" ref="K494:K505" si="96">J494*F494</f>
        <v>0</v>
      </c>
      <c r="L494" s="35"/>
    </row>
    <row r="495" spans="1:12" s="37" customFormat="1" x14ac:dyDescent="0.25">
      <c r="A495" s="30">
        <f>IF(F495&lt;&gt;"",1+MAX($A$7:A494),"")</f>
        <v>412</v>
      </c>
      <c r="B495" s="31"/>
      <c r="C495" s="50" t="s">
        <v>453</v>
      </c>
      <c r="D495" s="46">
        <v>1</v>
      </c>
      <c r="E495" s="28">
        <v>0</v>
      </c>
      <c r="F495" s="32">
        <f t="shared" si="95"/>
        <v>1</v>
      </c>
      <c r="G495" s="29" t="s">
        <v>66</v>
      </c>
      <c r="H495" s="29"/>
      <c r="I495" s="29"/>
      <c r="J495" s="33"/>
      <c r="K495" s="34">
        <f t="shared" si="96"/>
        <v>0</v>
      </c>
      <c r="L495" s="35"/>
    </row>
    <row r="496" spans="1:12" s="37" customFormat="1" x14ac:dyDescent="0.25">
      <c r="A496" s="30">
        <f>IF(F496&lt;&gt;"",1+MAX($A$7:A495),"")</f>
        <v>413</v>
      </c>
      <c r="B496" s="31"/>
      <c r="C496" s="50" t="s">
        <v>454</v>
      </c>
      <c r="D496" s="46">
        <v>1</v>
      </c>
      <c r="E496" s="28">
        <v>0</v>
      </c>
      <c r="F496" s="32">
        <f t="shared" si="95"/>
        <v>1</v>
      </c>
      <c r="G496" s="29" t="s">
        <v>66</v>
      </c>
      <c r="H496" s="29"/>
      <c r="I496" s="29"/>
      <c r="J496" s="33"/>
      <c r="K496" s="34">
        <f t="shared" si="96"/>
        <v>0</v>
      </c>
      <c r="L496" s="35"/>
    </row>
    <row r="497" spans="1:12" s="37" customFormat="1" x14ac:dyDescent="0.25">
      <c r="A497" s="30">
        <f>IF(F497&lt;&gt;"",1+MAX($A$7:A496),"")</f>
        <v>414</v>
      </c>
      <c r="B497" s="31"/>
      <c r="C497" s="50" t="s">
        <v>455</v>
      </c>
      <c r="D497" s="46">
        <v>1</v>
      </c>
      <c r="E497" s="28">
        <v>0</v>
      </c>
      <c r="F497" s="32">
        <f t="shared" si="95"/>
        <v>1</v>
      </c>
      <c r="G497" s="29" t="s">
        <v>66</v>
      </c>
      <c r="H497" s="29"/>
      <c r="I497" s="29"/>
      <c r="J497" s="33"/>
      <c r="K497" s="34">
        <f t="shared" si="96"/>
        <v>0</v>
      </c>
      <c r="L497" s="35"/>
    </row>
    <row r="498" spans="1:12" s="37" customFormat="1" x14ac:dyDescent="0.25">
      <c r="A498" s="30">
        <f>IF(F498&lt;&gt;"",1+MAX($A$7:A497),"")</f>
        <v>415</v>
      </c>
      <c r="B498" s="31"/>
      <c r="C498" s="50" t="s">
        <v>445</v>
      </c>
      <c r="D498" s="46">
        <v>1</v>
      </c>
      <c r="E498" s="28">
        <v>0</v>
      </c>
      <c r="F498" s="32">
        <f t="shared" si="95"/>
        <v>1</v>
      </c>
      <c r="G498" s="29" t="s">
        <v>66</v>
      </c>
      <c r="H498" s="29"/>
      <c r="I498" s="29"/>
      <c r="J498" s="33"/>
      <c r="K498" s="34">
        <f t="shared" si="96"/>
        <v>0</v>
      </c>
      <c r="L498" s="35"/>
    </row>
    <row r="499" spans="1:12" s="37" customFormat="1" x14ac:dyDescent="0.25">
      <c r="A499" s="30">
        <f>IF(F499&lt;&gt;"",1+MAX($A$7:A498),"")</f>
        <v>416</v>
      </c>
      <c r="B499" s="31"/>
      <c r="C499" s="50" t="s">
        <v>446</v>
      </c>
      <c r="D499" s="46">
        <v>1</v>
      </c>
      <c r="E499" s="28">
        <v>0</v>
      </c>
      <c r="F499" s="32">
        <f t="shared" si="95"/>
        <v>1</v>
      </c>
      <c r="G499" s="29" t="s">
        <v>66</v>
      </c>
      <c r="H499" s="29"/>
      <c r="I499" s="29"/>
      <c r="J499" s="33"/>
      <c r="K499" s="34">
        <f t="shared" si="96"/>
        <v>0</v>
      </c>
      <c r="L499" s="35"/>
    </row>
    <row r="500" spans="1:12" s="37" customFormat="1" x14ac:dyDescent="0.25">
      <c r="A500" s="30">
        <f>IF(F500&lt;&gt;"",1+MAX($A$7:A499),"")</f>
        <v>417</v>
      </c>
      <c r="B500" s="31"/>
      <c r="C500" s="50" t="s">
        <v>447</v>
      </c>
      <c r="D500" s="46">
        <v>1</v>
      </c>
      <c r="E500" s="28">
        <v>0</v>
      </c>
      <c r="F500" s="32">
        <f t="shared" si="95"/>
        <v>1</v>
      </c>
      <c r="G500" s="29" t="s">
        <v>66</v>
      </c>
      <c r="H500" s="29"/>
      <c r="I500" s="29"/>
      <c r="J500" s="33"/>
      <c r="K500" s="34">
        <f t="shared" si="96"/>
        <v>0</v>
      </c>
      <c r="L500" s="35"/>
    </row>
    <row r="501" spans="1:12" s="37" customFormat="1" x14ac:dyDescent="0.25">
      <c r="A501" s="30">
        <f>IF(F501&lt;&gt;"",1+MAX($A$7:A500),"")</f>
        <v>418</v>
      </c>
      <c r="B501" s="31"/>
      <c r="C501" s="50" t="s">
        <v>446</v>
      </c>
      <c r="D501" s="46">
        <v>1</v>
      </c>
      <c r="E501" s="28">
        <v>0</v>
      </c>
      <c r="F501" s="32">
        <f t="shared" si="95"/>
        <v>1</v>
      </c>
      <c r="G501" s="29" t="s">
        <v>66</v>
      </c>
      <c r="H501" s="29"/>
      <c r="I501" s="29"/>
      <c r="J501" s="33"/>
      <c r="K501" s="34">
        <f t="shared" si="96"/>
        <v>0</v>
      </c>
      <c r="L501" s="35"/>
    </row>
    <row r="502" spans="1:12" s="37" customFormat="1" x14ac:dyDescent="0.25">
      <c r="A502" s="30">
        <f>IF(F502&lt;&gt;"",1+MAX($A$7:A501),"")</f>
        <v>419</v>
      </c>
      <c r="B502" s="31"/>
      <c r="C502" s="50" t="s">
        <v>448</v>
      </c>
      <c r="D502" s="46">
        <v>1</v>
      </c>
      <c r="E502" s="28">
        <v>0</v>
      </c>
      <c r="F502" s="32">
        <f t="shared" si="95"/>
        <v>1</v>
      </c>
      <c r="G502" s="29" t="s">
        <v>66</v>
      </c>
      <c r="H502" s="29"/>
      <c r="I502" s="29"/>
      <c r="J502" s="33"/>
      <c r="K502" s="34">
        <f t="shared" si="96"/>
        <v>0</v>
      </c>
      <c r="L502" s="35"/>
    </row>
    <row r="503" spans="1:12" s="37" customFormat="1" x14ac:dyDescent="0.25">
      <c r="A503" s="30">
        <f>IF(F503&lt;&gt;"",1+MAX($A$7:A502),"")</f>
        <v>420</v>
      </c>
      <c r="B503" s="31"/>
      <c r="C503" s="50" t="s">
        <v>449</v>
      </c>
      <c r="D503" s="46">
        <v>1</v>
      </c>
      <c r="E503" s="28">
        <v>0</v>
      </c>
      <c r="F503" s="32">
        <f t="shared" si="95"/>
        <v>1</v>
      </c>
      <c r="G503" s="29" t="s">
        <v>66</v>
      </c>
      <c r="H503" s="29"/>
      <c r="I503" s="29"/>
      <c r="J503" s="33"/>
      <c r="K503" s="34">
        <f t="shared" si="96"/>
        <v>0</v>
      </c>
      <c r="L503" s="35"/>
    </row>
    <row r="504" spans="1:12" s="37" customFormat="1" x14ac:dyDescent="0.25">
      <c r="A504" s="30">
        <f>IF(F504&lt;&gt;"",1+MAX($A$7:A503),"")</f>
        <v>421</v>
      </c>
      <c r="B504" s="31"/>
      <c r="C504" s="50" t="s">
        <v>450</v>
      </c>
      <c r="D504" s="46">
        <v>1</v>
      </c>
      <c r="E504" s="28">
        <v>0</v>
      </c>
      <c r="F504" s="32">
        <f t="shared" si="95"/>
        <v>1</v>
      </c>
      <c r="G504" s="29" t="s">
        <v>66</v>
      </c>
      <c r="H504" s="29"/>
      <c r="I504" s="29"/>
      <c r="J504" s="33"/>
      <c r="K504" s="34">
        <f t="shared" si="96"/>
        <v>0</v>
      </c>
      <c r="L504" s="35"/>
    </row>
    <row r="505" spans="1:12" s="37" customFormat="1" ht="105" x14ac:dyDescent="0.25">
      <c r="A505" s="30">
        <f>IF(F505&lt;&gt;"",1+MAX($A$7:A504),"")</f>
        <v>422</v>
      </c>
      <c r="B505" s="31"/>
      <c r="C505" s="50" t="s">
        <v>579</v>
      </c>
      <c r="D505" s="46">
        <f>49*8.3</f>
        <v>406.70000000000005</v>
      </c>
      <c r="E505" s="28">
        <v>0</v>
      </c>
      <c r="F505" s="32">
        <f t="shared" si="95"/>
        <v>406.70000000000005</v>
      </c>
      <c r="G505" s="29" t="s">
        <v>275</v>
      </c>
      <c r="H505" s="29"/>
      <c r="I505" s="29"/>
      <c r="J505" s="33"/>
      <c r="K505" s="34">
        <f t="shared" si="96"/>
        <v>0</v>
      </c>
      <c r="L505" s="35"/>
    </row>
    <row r="506" spans="1:12" s="37" customFormat="1" ht="105" x14ac:dyDescent="0.25">
      <c r="A506" s="30">
        <f>IF(F506&lt;&gt;"",1+MAX($A$7:A505),"")</f>
        <v>423</v>
      </c>
      <c r="B506" s="31"/>
      <c r="C506" s="50" t="s">
        <v>580</v>
      </c>
      <c r="D506" s="46">
        <f>11*9</f>
        <v>99</v>
      </c>
      <c r="E506" s="28">
        <v>0</v>
      </c>
      <c r="F506" s="32">
        <f t="shared" ref="F506" si="97">D506*(1+E506)</f>
        <v>99</v>
      </c>
      <c r="G506" s="29" t="s">
        <v>275</v>
      </c>
      <c r="H506" s="29"/>
      <c r="I506" s="29"/>
      <c r="J506" s="33"/>
      <c r="K506" s="34">
        <f t="shared" ref="K506" si="98">J506*F506</f>
        <v>0</v>
      </c>
      <c r="L506" s="35"/>
    </row>
    <row r="507" spans="1:12" s="37" customFormat="1" x14ac:dyDescent="0.25">
      <c r="A507" s="30" t="str">
        <f>IF(F507&lt;&gt;"",1+MAX($A$7:A506),"")</f>
        <v/>
      </c>
      <c r="B507" s="31"/>
      <c r="C507" s="45"/>
      <c r="D507" s="46"/>
      <c r="E507" s="28"/>
      <c r="F507" s="32"/>
      <c r="G507" s="29"/>
      <c r="H507" s="29"/>
      <c r="I507" s="29"/>
      <c r="J507" s="33"/>
      <c r="K507" s="34"/>
      <c r="L507" s="35"/>
    </row>
    <row r="508" spans="1:12" s="37" customFormat="1" x14ac:dyDescent="0.25">
      <c r="A508" s="30" t="str">
        <f>IF(F508&lt;&gt;"",1+MAX($A$7:A507),"")</f>
        <v/>
      </c>
      <c r="B508" s="31"/>
      <c r="C508" s="45" t="s">
        <v>456</v>
      </c>
      <c r="D508" s="46"/>
      <c r="E508" s="28"/>
      <c r="F508" s="32"/>
      <c r="G508" s="29"/>
      <c r="H508" s="29"/>
      <c r="I508" s="29"/>
      <c r="J508" s="33"/>
      <c r="K508" s="34"/>
      <c r="L508" s="35"/>
    </row>
    <row r="509" spans="1:12" s="37" customFormat="1" ht="120" x14ac:dyDescent="0.25">
      <c r="A509" s="30">
        <f>IF(F509&lt;&gt;"",1+MAX($A$7:A508),"")</f>
        <v>424</v>
      </c>
      <c r="B509" s="31"/>
      <c r="C509" s="50" t="s">
        <v>558</v>
      </c>
      <c r="D509" s="46">
        <f>26.4*2.4</f>
        <v>63.359999999999992</v>
      </c>
      <c r="E509" s="28">
        <v>0</v>
      </c>
      <c r="F509" s="32">
        <f t="shared" ref="F509:F540" si="99">D509*(1+E509)</f>
        <v>63.359999999999992</v>
      </c>
      <c r="G509" s="29" t="s">
        <v>275</v>
      </c>
      <c r="H509" s="29"/>
      <c r="I509" s="29"/>
      <c r="J509" s="33"/>
      <c r="K509" s="34">
        <f t="shared" ref="K509:K540" si="100">J509*F509</f>
        <v>0</v>
      </c>
      <c r="L509" s="35"/>
    </row>
    <row r="510" spans="1:12" s="37" customFormat="1" ht="120" x14ac:dyDescent="0.25">
      <c r="A510" s="30">
        <f>IF(F510&lt;&gt;"",1+MAX($A$7:A509),"")</f>
        <v>425</v>
      </c>
      <c r="B510" s="31"/>
      <c r="C510" s="50" t="s">
        <v>559</v>
      </c>
      <c r="D510" s="46">
        <f>5.8*13*2</f>
        <v>150.79999999999998</v>
      </c>
      <c r="E510" s="28">
        <v>0</v>
      </c>
      <c r="F510" s="32">
        <f t="shared" si="99"/>
        <v>150.79999999999998</v>
      </c>
      <c r="G510" s="29" t="s">
        <v>275</v>
      </c>
      <c r="H510" s="29"/>
      <c r="I510" s="29"/>
      <c r="J510" s="33"/>
      <c r="K510" s="34">
        <f t="shared" si="100"/>
        <v>0</v>
      </c>
      <c r="L510" s="35"/>
    </row>
    <row r="511" spans="1:12" s="37" customFormat="1" ht="120" x14ac:dyDescent="0.25">
      <c r="A511" s="30">
        <f>IF(F511&lt;&gt;"",1+MAX($A$7:A510),"")</f>
        <v>426</v>
      </c>
      <c r="B511" s="31"/>
      <c r="C511" s="50" t="s">
        <v>560</v>
      </c>
      <c r="D511" s="46">
        <f>12*24</f>
        <v>288</v>
      </c>
      <c r="E511" s="28">
        <v>0</v>
      </c>
      <c r="F511" s="32">
        <f t="shared" si="99"/>
        <v>288</v>
      </c>
      <c r="G511" s="29" t="s">
        <v>275</v>
      </c>
      <c r="H511" s="29"/>
      <c r="I511" s="29"/>
      <c r="J511" s="33"/>
      <c r="K511" s="34">
        <f t="shared" si="100"/>
        <v>0</v>
      </c>
      <c r="L511" s="35"/>
    </row>
    <row r="512" spans="1:12" s="37" customFormat="1" ht="120" x14ac:dyDescent="0.25">
      <c r="A512" s="30">
        <f>IF(F512&lt;&gt;"",1+MAX($A$7:A511),"")</f>
        <v>427</v>
      </c>
      <c r="B512" s="31"/>
      <c r="C512" s="50" t="s">
        <v>561</v>
      </c>
      <c r="D512" s="46">
        <f>12*13</f>
        <v>156</v>
      </c>
      <c r="E512" s="28">
        <v>0</v>
      </c>
      <c r="F512" s="32">
        <f t="shared" si="99"/>
        <v>156</v>
      </c>
      <c r="G512" s="29" t="s">
        <v>275</v>
      </c>
      <c r="H512" s="29"/>
      <c r="I512" s="29"/>
      <c r="J512" s="33"/>
      <c r="K512" s="34">
        <f t="shared" si="100"/>
        <v>0</v>
      </c>
      <c r="L512" s="35"/>
    </row>
    <row r="513" spans="1:12" s="37" customFormat="1" ht="120" x14ac:dyDescent="0.25">
      <c r="A513" s="30">
        <f>IF(F513&lt;&gt;"",1+MAX($A$7:A512),"")</f>
        <v>428</v>
      </c>
      <c r="B513" s="31"/>
      <c r="C513" s="50" t="s">
        <v>562</v>
      </c>
      <c r="D513" s="46">
        <f>3*13.3*12</f>
        <v>478.80000000000007</v>
      </c>
      <c r="E513" s="28">
        <v>0</v>
      </c>
      <c r="F513" s="32">
        <f t="shared" si="99"/>
        <v>478.80000000000007</v>
      </c>
      <c r="G513" s="29" t="s">
        <v>275</v>
      </c>
      <c r="H513" s="29"/>
      <c r="I513" s="29"/>
      <c r="J513" s="33"/>
      <c r="K513" s="34">
        <f t="shared" si="100"/>
        <v>0</v>
      </c>
      <c r="L513" s="35"/>
    </row>
    <row r="514" spans="1:12" s="37" customFormat="1" ht="120" x14ac:dyDescent="0.25">
      <c r="A514" s="30">
        <f>IF(F514&lt;&gt;"",1+MAX($A$7:A513),"")</f>
        <v>429</v>
      </c>
      <c r="B514" s="31"/>
      <c r="C514" s="50" t="s">
        <v>563</v>
      </c>
      <c r="D514" s="46">
        <f>3*13.4*13</f>
        <v>522.6</v>
      </c>
      <c r="E514" s="28">
        <v>0</v>
      </c>
      <c r="F514" s="32">
        <f t="shared" si="99"/>
        <v>522.6</v>
      </c>
      <c r="G514" s="29" t="s">
        <v>275</v>
      </c>
      <c r="H514" s="29"/>
      <c r="I514" s="29"/>
      <c r="J514" s="33"/>
      <c r="K514" s="34">
        <f t="shared" si="100"/>
        <v>0</v>
      </c>
      <c r="L514" s="35"/>
    </row>
    <row r="515" spans="1:12" s="37" customFormat="1" ht="120" x14ac:dyDescent="0.25">
      <c r="A515" s="30">
        <f>IF(F515&lt;&gt;"",1+MAX($A$7:A514),"")</f>
        <v>430</v>
      </c>
      <c r="B515" s="31"/>
      <c r="C515" s="50" t="s">
        <v>564</v>
      </c>
      <c r="D515" s="46">
        <f>36*36</f>
        <v>1296</v>
      </c>
      <c r="E515" s="28">
        <v>0</v>
      </c>
      <c r="F515" s="32">
        <f t="shared" si="99"/>
        <v>1296</v>
      </c>
      <c r="G515" s="29" t="s">
        <v>275</v>
      </c>
      <c r="H515" s="29"/>
      <c r="I515" s="29"/>
      <c r="J515" s="33"/>
      <c r="K515" s="34">
        <f t="shared" si="100"/>
        <v>0</v>
      </c>
      <c r="L515" s="35"/>
    </row>
    <row r="516" spans="1:12" s="37" customFormat="1" ht="120" x14ac:dyDescent="0.25">
      <c r="A516" s="30">
        <f>IF(F516&lt;&gt;"",1+MAX($A$7:A515),"")</f>
        <v>431</v>
      </c>
      <c r="B516" s="31"/>
      <c r="C516" s="50" t="s">
        <v>565</v>
      </c>
      <c r="D516" s="46">
        <f>6.8*16</f>
        <v>108.8</v>
      </c>
      <c r="E516" s="28">
        <v>0</v>
      </c>
      <c r="F516" s="32">
        <f t="shared" si="99"/>
        <v>108.8</v>
      </c>
      <c r="G516" s="29" t="s">
        <v>275</v>
      </c>
      <c r="H516" s="29"/>
      <c r="I516" s="29"/>
      <c r="J516" s="33"/>
      <c r="K516" s="34">
        <f t="shared" si="100"/>
        <v>0</v>
      </c>
      <c r="L516" s="35"/>
    </row>
    <row r="517" spans="1:12" s="37" customFormat="1" ht="120" x14ac:dyDescent="0.25">
      <c r="A517" s="30">
        <f>IF(F517&lt;&gt;"",1+MAX($A$7:A516),"")</f>
        <v>432</v>
      </c>
      <c r="B517" s="31"/>
      <c r="C517" s="50" t="s">
        <v>566</v>
      </c>
      <c r="D517" s="46">
        <f>6.6*12.5</f>
        <v>82.5</v>
      </c>
      <c r="E517" s="28">
        <v>0</v>
      </c>
      <c r="F517" s="32">
        <f t="shared" si="99"/>
        <v>82.5</v>
      </c>
      <c r="G517" s="29" t="s">
        <v>275</v>
      </c>
      <c r="H517" s="29"/>
      <c r="I517" s="29"/>
      <c r="J517" s="33"/>
      <c r="K517" s="34">
        <f t="shared" si="100"/>
        <v>0</v>
      </c>
      <c r="L517" s="35"/>
    </row>
    <row r="518" spans="1:12" s="37" customFormat="1" ht="120" x14ac:dyDescent="0.25">
      <c r="A518" s="30">
        <f>IF(F518&lt;&gt;"",1+MAX($A$7:A517),"")</f>
        <v>433</v>
      </c>
      <c r="B518" s="31"/>
      <c r="C518" s="50" t="s">
        <v>548</v>
      </c>
      <c r="D518" s="46">
        <f>11.6*13</f>
        <v>150.79999999999998</v>
      </c>
      <c r="E518" s="28">
        <v>0</v>
      </c>
      <c r="F518" s="32">
        <f t="shared" si="99"/>
        <v>150.79999999999998</v>
      </c>
      <c r="G518" s="29" t="s">
        <v>275</v>
      </c>
      <c r="H518" s="29"/>
      <c r="I518" s="29"/>
      <c r="J518" s="33"/>
      <c r="K518" s="34">
        <f t="shared" si="100"/>
        <v>0</v>
      </c>
      <c r="L518" s="35"/>
    </row>
    <row r="519" spans="1:12" s="37" customFormat="1" ht="120" x14ac:dyDescent="0.25">
      <c r="A519" s="30">
        <f>IF(F519&lt;&gt;"",1+MAX($A$7:A518),"")</f>
        <v>434</v>
      </c>
      <c r="B519" s="31"/>
      <c r="C519" s="50" t="s">
        <v>549</v>
      </c>
      <c r="D519" s="46">
        <f>13*25</f>
        <v>325</v>
      </c>
      <c r="E519" s="28">
        <v>0</v>
      </c>
      <c r="F519" s="32">
        <f t="shared" si="99"/>
        <v>325</v>
      </c>
      <c r="G519" s="29" t="s">
        <v>275</v>
      </c>
      <c r="H519" s="29"/>
      <c r="I519" s="29"/>
      <c r="J519" s="33"/>
      <c r="K519" s="34">
        <f t="shared" si="100"/>
        <v>0</v>
      </c>
      <c r="L519" s="35"/>
    </row>
    <row r="520" spans="1:12" s="37" customFormat="1" ht="120" x14ac:dyDescent="0.25">
      <c r="A520" s="30">
        <f>IF(F520&lt;&gt;"",1+MAX($A$7:A519),"")</f>
        <v>435</v>
      </c>
      <c r="B520" s="31"/>
      <c r="C520" s="50" t="s">
        <v>550</v>
      </c>
      <c r="D520" s="46">
        <f>3.3*21</f>
        <v>69.3</v>
      </c>
      <c r="E520" s="28">
        <v>0</v>
      </c>
      <c r="F520" s="32">
        <f t="shared" si="99"/>
        <v>69.3</v>
      </c>
      <c r="G520" s="29" t="s">
        <v>275</v>
      </c>
      <c r="H520" s="29"/>
      <c r="I520" s="29"/>
      <c r="J520" s="33"/>
      <c r="K520" s="34">
        <f t="shared" si="100"/>
        <v>0</v>
      </c>
      <c r="L520" s="35"/>
    </row>
    <row r="521" spans="1:12" s="37" customFormat="1" ht="120" x14ac:dyDescent="0.25">
      <c r="A521" s="30">
        <f>IF(F521&lt;&gt;"",1+MAX($A$7:A520),"")</f>
        <v>436</v>
      </c>
      <c r="B521" s="31"/>
      <c r="C521" s="50" t="s">
        <v>551</v>
      </c>
      <c r="D521" s="46">
        <f>13*12.5</f>
        <v>162.5</v>
      </c>
      <c r="E521" s="28">
        <v>0</v>
      </c>
      <c r="F521" s="32">
        <f t="shared" si="99"/>
        <v>162.5</v>
      </c>
      <c r="G521" s="29" t="s">
        <v>275</v>
      </c>
      <c r="H521" s="29"/>
      <c r="I521" s="29"/>
      <c r="J521" s="33"/>
      <c r="K521" s="34">
        <f t="shared" si="100"/>
        <v>0</v>
      </c>
      <c r="L521" s="35"/>
    </row>
    <row r="522" spans="1:12" s="37" customFormat="1" ht="120" x14ac:dyDescent="0.25">
      <c r="A522" s="30">
        <f>IF(F522&lt;&gt;"",1+MAX($A$7:A521),"")</f>
        <v>437</v>
      </c>
      <c r="B522" s="31"/>
      <c r="C522" s="50" t="s">
        <v>552</v>
      </c>
      <c r="D522" s="46">
        <f>2*8.3*13</f>
        <v>215.8</v>
      </c>
      <c r="E522" s="28">
        <v>0</v>
      </c>
      <c r="F522" s="32">
        <f t="shared" si="99"/>
        <v>215.8</v>
      </c>
      <c r="G522" s="29" t="s">
        <v>275</v>
      </c>
      <c r="H522" s="29"/>
      <c r="I522" s="29"/>
      <c r="J522" s="33"/>
      <c r="K522" s="34">
        <f t="shared" si="100"/>
        <v>0</v>
      </c>
      <c r="L522" s="35"/>
    </row>
    <row r="523" spans="1:12" s="37" customFormat="1" ht="120" x14ac:dyDescent="0.25">
      <c r="A523" s="30">
        <f>IF(F523&lt;&gt;"",1+MAX($A$7:A522),"")</f>
        <v>438</v>
      </c>
      <c r="B523" s="31"/>
      <c r="C523" s="50" t="s">
        <v>553</v>
      </c>
      <c r="D523" s="46">
        <f>18.5*13</f>
        <v>240.5</v>
      </c>
      <c r="E523" s="28">
        <v>0</v>
      </c>
      <c r="F523" s="32">
        <f t="shared" si="99"/>
        <v>240.5</v>
      </c>
      <c r="G523" s="29" t="s">
        <v>275</v>
      </c>
      <c r="H523" s="29"/>
      <c r="I523" s="29"/>
      <c r="J523" s="33"/>
      <c r="K523" s="34">
        <f t="shared" si="100"/>
        <v>0</v>
      </c>
      <c r="L523" s="35"/>
    </row>
    <row r="524" spans="1:12" s="37" customFormat="1" ht="120" x14ac:dyDescent="0.25">
      <c r="A524" s="30">
        <f>IF(F524&lt;&gt;"",1+MAX($A$7:A523),"")</f>
        <v>439</v>
      </c>
      <c r="B524" s="31"/>
      <c r="C524" s="50" t="s">
        <v>554</v>
      </c>
      <c r="D524" s="46">
        <f>4.4*24.5</f>
        <v>107.80000000000001</v>
      </c>
      <c r="E524" s="28">
        <v>0</v>
      </c>
      <c r="F524" s="32">
        <f t="shared" si="99"/>
        <v>107.80000000000001</v>
      </c>
      <c r="G524" s="29" t="s">
        <v>275</v>
      </c>
      <c r="H524" s="29"/>
      <c r="I524" s="29"/>
      <c r="J524" s="33"/>
      <c r="K524" s="34">
        <f t="shared" si="100"/>
        <v>0</v>
      </c>
      <c r="L524" s="35"/>
    </row>
    <row r="525" spans="1:12" s="37" customFormat="1" ht="120" x14ac:dyDescent="0.25">
      <c r="A525" s="30">
        <f>IF(F525&lt;&gt;"",1+MAX($A$7:A524),"")</f>
        <v>440</v>
      </c>
      <c r="B525" s="31"/>
      <c r="C525" s="50" t="s">
        <v>555</v>
      </c>
      <c r="D525" s="46">
        <f>28.5*13</f>
        <v>370.5</v>
      </c>
      <c r="E525" s="28">
        <v>0</v>
      </c>
      <c r="F525" s="32">
        <f t="shared" si="99"/>
        <v>370.5</v>
      </c>
      <c r="G525" s="29" t="s">
        <v>275</v>
      </c>
      <c r="H525" s="29"/>
      <c r="I525" s="29"/>
      <c r="J525" s="33"/>
      <c r="K525" s="34">
        <f t="shared" si="100"/>
        <v>0</v>
      </c>
      <c r="L525" s="35"/>
    </row>
    <row r="526" spans="1:12" s="37" customFormat="1" ht="120" x14ac:dyDescent="0.25">
      <c r="A526" s="30">
        <f>IF(F526&lt;&gt;"",1+MAX($A$7:A525),"")</f>
        <v>441</v>
      </c>
      <c r="B526" s="31"/>
      <c r="C526" s="50" t="s">
        <v>556</v>
      </c>
      <c r="D526" s="46">
        <f>7*17.5</f>
        <v>122.5</v>
      </c>
      <c r="E526" s="28">
        <v>0</v>
      </c>
      <c r="F526" s="32">
        <f t="shared" si="99"/>
        <v>122.5</v>
      </c>
      <c r="G526" s="29" t="s">
        <v>275</v>
      </c>
      <c r="H526" s="29"/>
      <c r="I526" s="29"/>
      <c r="J526" s="33"/>
      <c r="K526" s="34">
        <f t="shared" si="100"/>
        <v>0</v>
      </c>
      <c r="L526" s="35"/>
    </row>
    <row r="527" spans="1:12" s="37" customFormat="1" ht="120" x14ac:dyDescent="0.25">
      <c r="A527" s="30">
        <f>IF(F527&lt;&gt;"",1+MAX($A$7:A526),"")</f>
        <v>442</v>
      </c>
      <c r="B527" s="31"/>
      <c r="C527" s="50" t="s">
        <v>557</v>
      </c>
      <c r="D527" s="46">
        <f>2*119*18</f>
        <v>4284</v>
      </c>
      <c r="E527" s="28">
        <v>0</v>
      </c>
      <c r="F527" s="32">
        <f t="shared" si="99"/>
        <v>4284</v>
      </c>
      <c r="G527" s="29" t="s">
        <v>275</v>
      </c>
      <c r="H527" s="29"/>
      <c r="I527" s="29"/>
      <c r="J527" s="33"/>
      <c r="K527" s="34">
        <f t="shared" si="100"/>
        <v>0</v>
      </c>
      <c r="L527" s="35"/>
    </row>
    <row r="528" spans="1:12" s="37" customFormat="1" ht="120" x14ac:dyDescent="0.25">
      <c r="A528" s="30">
        <f>IF(F528&lt;&gt;"",1+MAX($A$7:A527),"")</f>
        <v>443</v>
      </c>
      <c r="B528" s="31"/>
      <c r="C528" s="50" t="s">
        <v>567</v>
      </c>
      <c r="D528" s="46">
        <f>13*17.3</f>
        <v>224.9</v>
      </c>
      <c r="E528" s="28">
        <v>0</v>
      </c>
      <c r="F528" s="32">
        <f t="shared" si="99"/>
        <v>224.9</v>
      </c>
      <c r="G528" s="29" t="s">
        <v>275</v>
      </c>
      <c r="H528" s="29"/>
      <c r="I528" s="29"/>
      <c r="J528" s="33"/>
      <c r="K528" s="34">
        <f t="shared" si="100"/>
        <v>0</v>
      </c>
      <c r="L528" s="35"/>
    </row>
    <row r="529" spans="1:12" s="37" customFormat="1" ht="120" x14ac:dyDescent="0.25">
      <c r="A529" s="30">
        <f>IF(F529&lt;&gt;"",1+MAX($A$7:A528),"")</f>
        <v>444</v>
      </c>
      <c r="B529" s="31"/>
      <c r="C529" s="50" t="s">
        <v>568</v>
      </c>
      <c r="D529" s="46">
        <f>11*13</f>
        <v>143</v>
      </c>
      <c r="E529" s="28">
        <v>0</v>
      </c>
      <c r="F529" s="32">
        <f t="shared" si="99"/>
        <v>143</v>
      </c>
      <c r="G529" s="29" t="s">
        <v>275</v>
      </c>
      <c r="H529" s="29"/>
      <c r="I529" s="29"/>
      <c r="J529" s="33"/>
      <c r="K529" s="34">
        <f t="shared" si="100"/>
        <v>0</v>
      </c>
      <c r="L529" s="35"/>
    </row>
    <row r="530" spans="1:12" s="37" customFormat="1" ht="120" x14ac:dyDescent="0.25">
      <c r="A530" s="30">
        <f>IF(F530&lt;&gt;"",1+MAX($A$7:A529),"")</f>
        <v>445</v>
      </c>
      <c r="B530" s="31"/>
      <c r="C530" s="50" t="s">
        <v>569</v>
      </c>
      <c r="D530" s="46">
        <f>25*18.5</f>
        <v>462.5</v>
      </c>
      <c r="E530" s="28">
        <v>0</v>
      </c>
      <c r="F530" s="32">
        <f t="shared" si="99"/>
        <v>462.5</v>
      </c>
      <c r="G530" s="29" t="s">
        <v>275</v>
      </c>
      <c r="H530" s="29"/>
      <c r="I530" s="29"/>
      <c r="J530" s="33"/>
      <c r="K530" s="34">
        <f t="shared" si="100"/>
        <v>0</v>
      </c>
      <c r="L530" s="35"/>
    </row>
    <row r="531" spans="1:12" s="37" customFormat="1" ht="120" x14ac:dyDescent="0.25">
      <c r="A531" s="30">
        <f>IF(F531&lt;&gt;"",1+MAX($A$7:A530),"")</f>
        <v>446</v>
      </c>
      <c r="B531" s="31"/>
      <c r="C531" s="50" t="s">
        <v>570</v>
      </c>
      <c r="D531" s="46">
        <f>13*18.5</f>
        <v>240.5</v>
      </c>
      <c r="E531" s="28">
        <v>0</v>
      </c>
      <c r="F531" s="32">
        <f t="shared" si="99"/>
        <v>240.5</v>
      </c>
      <c r="G531" s="29" t="s">
        <v>275</v>
      </c>
      <c r="H531" s="29"/>
      <c r="I531" s="29"/>
      <c r="J531" s="33"/>
      <c r="K531" s="34">
        <f t="shared" si="100"/>
        <v>0</v>
      </c>
      <c r="L531" s="35"/>
    </row>
    <row r="532" spans="1:12" s="37" customFormat="1" ht="120" x14ac:dyDescent="0.25">
      <c r="A532" s="30">
        <f>IF(F532&lt;&gt;"",1+MAX($A$7:A531),"")</f>
        <v>447</v>
      </c>
      <c r="B532" s="31"/>
      <c r="C532" s="50" t="s">
        <v>571</v>
      </c>
      <c r="D532" s="46">
        <f>11*13</f>
        <v>143</v>
      </c>
      <c r="E532" s="28">
        <v>0</v>
      </c>
      <c r="F532" s="32">
        <f t="shared" si="99"/>
        <v>143</v>
      </c>
      <c r="G532" s="29" t="s">
        <v>275</v>
      </c>
      <c r="H532" s="29"/>
      <c r="I532" s="29"/>
      <c r="J532" s="33"/>
      <c r="K532" s="34">
        <f t="shared" si="100"/>
        <v>0</v>
      </c>
      <c r="L532" s="35"/>
    </row>
    <row r="533" spans="1:12" s="37" customFormat="1" ht="120" x14ac:dyDescent="0.25">
      <c r="A533" s="30">
        <f>IF(F533&lt;&gt;"",1+MAX($A$7:A532),"")</f>
        <v>448</v>
      </c>
      <c r="B533" s="31"/>
      <c r="C533" s="50" t="s">
        <v>572</v>
      </c>
      <c r="D533" s="46">
        <f>22.3*16</f>
        <v>356.8</v>
      </c>
      <c r="E533" s="28">
        <v>0</v>
      </c>
      <c r="F533" s="32">
        <f t="shared" si="99"/>
        <v>356.8</v>
      </c>
      <c r="G533" s="29" t="s">
        <v>275</v>
      </c>
      <c r="H533" s="29"/>
      <c r="I533" s="29"/>
      <c r="J533" s="33"/>
      <c r="K533" s="34">
        <f t="shared" si="100"/>
        <v>0</v>
      </c>
      <c r="L533" s="35"/>
    </row>
    <row r="534" spans="1:12" s="37" customFormat="1" ht="120" x14ac:dyDescent="0.25">
      <c r="A534" s="30">
        <f>IF(F534&lt;&gt;"",1+MAX($A$7:A533),"")</f>
        <v>449</v>
      </c>
      <c r="B534" s="31"/>
      <c r="C534" s="50" t="s">
        <v>573</v>
      </c>
      <c r="D534" s="46">
        <f>5.5*18</f>
        <v>99</v>
      </c>
      <c r="E534" s="28">
        <v>0</v>
      </c>
      <c r="F534" s="32">
        <f t="shared" si="99"/>
        <v>99</v>
      </c>
      <c r="G534" s="29" t="s">
        <v>275</v>
      </c>
      <c r="H534" s="29"/>
      <c r="I534" s="29"/>
      <c r="J534" s="33"/>
      <c r="K534" s="34">
        <f t="shared" si="100"/>
        <v>0</v>
      </c>
      <c r="L534" s="35"/>
    </row>
    <row r="535" spans="1:12" s="37" customFormat="1" ht="120" x14ac:dyDescent="0.25">
      <c r="A535" s="30">
        <f>IF(F535&lt;&gt;"",1+MAX($A$7:A534),"")</f>
        <v>450</v>
      </c>
      <c r="B535" s="31"/>
      <c r="C535" s="50" t="s">
        <v>574</v>
      </c>
      <c r="D535" s="46">
        <f>22.5*18</f>
        <v>405</v>
      </c>
      <c r="E535" s="28">
        <v>0</v>
      </c>
      <c r="F535" s="32">
        <f t="shared" si="99"/>
        <v>405</v>
      </c>
      <c r="G535" s="29" t="s">
        <v>275</v>
      </c>
      <c r="H535" s="29"/>
      <c r="I535" s="29"/>
      <c r="J535" s="33"/>
      <c r="K535" s="34">
        <f t="shared" si="100"/>
        <v>0</v>
      </c>
      <c r="L535" s="35"/>
    </row>
    <row r="536" spans="1:12" s="37" customFormat="1" ht="120" x14ac:dyDescent="0.25">
      <c r="A536" s="30">
        <f>IF(F536&lt;&gt;"",1+MAX($A$7:A535),"")</f>
        <v>451</v>
      </c>
      <c r="B536" s="31"/>
      <c r="C536" s="50" t="s">
        <v>575</v>
      </c>
      <c r="D536" s="46">
        <f>22.3*16</f>
        <v>356.8</v>
      </c>
      <c r="E536" s="28">
        <v>0</v>
      </c>
      <c r="F536" s="32">
        <f t="shared" si="99"/>
        <v>356.8</v>
      </c>
      <c r="G536" s="29" t="s">
        <v>275</v>
      </c>
      <c r="H536" s="29"/>
      <c r="I536" s="29"/>
      <c r="J536" s="33"/>
      <c r="K536" s="34">
        <f t="shared" si="100"/>
        <v>0</v>
      </c>
      <c r="L536" s="35"/>
    </row>
    <row r="537" spans="1:12" s="37" customFormat="1" ht="120" x14ac:dyDescent="0.25">
      <c r="A537" s="30">
        <f>IF(F537&lt;&gt;"",1+MAX($A$7:A536),"")</f>
        <v>452</v>
      </c>
      <c r="B537" s="31"/>
      <c r="C537" s="50" t="s">
        <v>578</v>
      </c>
      <c r="D537" s="46">
        <f>18.4*32</f>
        <v>588.79999999999995</v>
      </c>
      <c r="E537" s="28">
        <v>0</v>
      </c>
      <c r="F537" s="32">
        <f t="shared" si="99"/>
        <v>588.79999999999995</v>
      </c>
      <c r="G537" s="29" t="s">
        <v>275</v>
      </c>
      <c r="H537" s="29"/>
      <c r="I537" s="29"/>
      <c r="J537" s="33"/>
      <c r="K537" s="34">
        <f t="shared" si="100"/>
        <v>0</v>
      </c>
      <c r="L537" s="35"/>
    </row>
    <row r="538" spans="1:12" s="37" customFormat="1" ht="120" x14ac:dyDescent="0.25">
      <c r="A538" s="30">
        <f>IF(F538&lt;&gt;"",1+MAX($A$7:A537),"")</f>
        <v>453</v>
      </c>
      <c r="B538" s="31"/>
      <c r="C538" s="50" t="s">
        <v>577</v>
      </c>
      <c r="D538" s="46">
        <f>15*17</f>
        <v>255</v>
      </c>
      <c r="E538" s="28">
        <v>0</v>
      </c>
      <c r="F538" s="32">
        <f t="shared" si="99"/>
        <v>255</v>
      </c>
      <c r="G538" s="29" t="s">
        <v>275</v>
      </c>
      <c r="H538" s="29"/>
      <c r="I538" s="29"/>
      <c r="J538" s="33"/>
      <c r="K538" s="34">
        <f t="shared" si="100"/>
        <v>0</v>
      </c>
      <c r="L538" s="35"/>
    </row>
    <row r="539" spans="1:12" s="37" customFormat="1" ht="120" x14ac:dyDescent="0.25">
      <c r="A539" s="30">
        <f>IF(F539&lt;&gt;"",1+MAX($A$7:A538),"")</f>
        <v>454</v>
      </c>
      <c r="B539" s="31"/>
      <c r="C539" s="50" t="s">
        <v>576</v>
      </c>
      <c r="D539" s="46">
        <f>15*18.5</f>
        <v>277.5</v>
      </c>
      <c r="E539" s="28">
        <v>0</v>
      </c>
      <c r="F539" s="32">
        <f t="shared" si="99"/>
        <v>277.5</v>
      </c>
      <c r="G539" s="29" t="s">
        <v>275</v>
      </c>
      <c r="H539" s="29"/>
      <c r="I539" s="29"/>
      <c r="J539" s="33"/>
      <c r="K539" s="34">
        <f t="shared" si="100"/>
        <v>0</v>
      </c>
      <c r="L539" s="35"/>
    </row>
    <row r="540" spans="1:12" s="37" customFormat="1" ht="120" x14ac:dyDescent="0.25">
      <c r="A540" s="30">
        <f>IF(F540&lt;&gt;"",1+MAX($A$7:A539),"")</f>
        <v>455</v>
      </c>
      <c r="B540" s="31"/>
      <c r="C540" s="50" t="s">
        <v>574</v>
      </c>
      <c r="D540" s="46">
        <f>18*22.5</f>
        <v>405</v>
      </c>
      <c r="E540" s="28">
        <v>0</v>
      </c>
      <c r="F540" s="32">
        <f t="shared" si="99"/>
        <v>405</v>
      </c>
      <c r="G540" s="29" t="s">
        <v>275</v>
      </c>
      <c r="H540" s="29"/>
      <c r="I540" s="29"/>
      <c r="J540" s="33"/>
      <c r="K540" s="34">
        <f t="shared" si="100"/>
        <v>0</v>
      </c>
      <c r="L540" s="35"/>
    </row>
    <row r="541" spans="1:12" s="37" customFormat="1" x14ac:dyDescent="0.25">
      <c r="A541" s="30" t="str">
        <f>IF(F541&lt;&gt;"",1+MAX($A$7:A540),"")</f>
        <v/>
      </c>
      <c r="B541" s="31"/>
      <c r="C541" s="50"/>
      <c r="D541" s="46"/>
      <c r="E541" s="28"/>
      <c r="F541" s="32"/>
      <c r="G541" s="29"/>
      <c r="H541" s="29"/>
      <c r="I541" s="29"/>
      <c r="J541" s="33"/>
      <c r="K541" s="34"/>
      <c r="L541" s="35"/>
    </row>
    <row r="542" spans="1:12" s="37" customFormat="1" x14ac:dyDescent="0.25">
      <c r="A542" s="30" t="str">
        <f>IF(F542&lt;&gt;"",1+MAX($A$7:A541),"")</f>
        <v/>
      </c>
      <c r="B542" s="31"/>
      <c r="C542" s="45" t="s">
        <v>547</v>
      </c>
      <c r="D542" s="46"/>
      <c r="E542" s="28"/>
      <c r="F542" s="32"/>
      <c r="G542" s="29"/>
      <c r="H542" s="29"/>
      <c r="I542" s="29"/>
      <c r="J542" s="33"/>
      <c r="K542" s="34"/>
      <c r="L542" s="35"/>
    </row>
    <row r="543" spans="1:12" s="37" customFormat="1" ht="105" x14ac:dyDescent="0.25">
      <c r="A543" s="30">
        <f>IF(F543&lt;&gt;"",1+MAX($A$7:A542),"")</f>
        <v>456</v>
      </c>
      <c r="B543" s="31"/>
      <c r="C543" s="50" t="s">
        <v>581</v>
      </c>
      <c r="D543" s="46">
        <v>18</v>
      </c>
      <c r="E543" s="28">
        <v>0</v>
      </c>
      <c r="F543" s="32">
        <f t="shared" ref="F543:F544" si="101">D543*(1+E543)</f>
        <v>18</v>
      </c>
      <c r="G543" s="29" t="s">
        <v>66</v>
      </c>
      <c r="H543" s="29"/>
      <c r="I543" s="29"/>
      <c r="J543" s="33"/>
      <c r="K543" s="34">
        <f t="shared" ref="K543:K544" si="102">J543*F543</f>
        <v>0</v>
      </c>
      <c r="L543" s="35"/>
    </row>
    <row r="544" spans="1:12" s="37" customFormat="1" ht="105" x14ac:dyDescent="0.25">
      <c r="A544" s="30">
        <f>IF(F544&lt;&gt;"",1+MAX($A$7:A543),"")</f>
        <v>457</v>
      </c>
      <c r="B544" s="31"/>
      <c r="C544" s="50" t="s">
        <v>582</v>
      </c>
      <c r="D544" s="46">
        <v>16</v>
      </c>
      <c r="E544" s="28">
        <v>0</v>
      </c>
      <c r="F544" s="32">
        <f t="shared" si="101"/>
        <v>16</v>
      </c>
      <c r="G544" s="29" t="s">
        <v>66</v>
      </c>
      <c r="H544" s="29"/>
      <c r="I544" s="29"/>
      <c r="J544" s="33"/>
      <c r="K544" s="34">
        <f t="shared" si="102"/>
        <v>0</v>
      </c>
      <c r="L544" s="35"/>
    </row>
    <row r="545" spans="1:12" s="37" customFormat="1" x14ac:dyDescent="0.25">
      <c r="A545" s="30" t="str">
        <f>IF(F545&lt;&gt;"",1+MAX($A$7:A544),"")</f>
        <v/>
      </c>
      <c r="B545" s="31"/>
      <c r="C545" s="50"/>
      <c r="D545" s="46"/>
      <c r="E545" s="28"/>
      <c r="F545" s="32"/>
      <c r="G545" s="29"/>
      <c r="H545" s="29"/>
      <c r="I545" s="29"/>
      <c r="J545" s="33"/>
      <c r="K545" s="34"/>
      <c r="L545" s="35"/>
    </row>
    <row r="546" spans="1:12" s="37" customFormat="1" x14ac:dyDescent="0.25">
      <c r="A546" s="30" t="str">
        <f>IF(F546&lt;&gt;"",1+MAX($A$7:A545),"")</f>
        <v/>
      </c>
      <c r="B546" s="31"/>
      <c r="C546" s="45" t="s">
        <v>546</v>
      </c>
      <c r="D546" s="46"/>
      <c r="E546" s="28"/>
      <c r="F546" s="32"/>
      <c r="G546" s="29"/>
      <c r="H546" s="29"/>
      <c r="I546" s="29"/>
      <c r="J546" s="33"/>
      <c r="K546" s="34"/>
      <c r="L546" s="35"/>
    </row>
    <row r="547" spans="1:12" s="37" customFormat="1" x14ac:dyDescent="0.25">
      <c r="A547" s="30">
        <f>IF(F547&lt;&gt;"",1+MAX($A$7:A546),"")</f>
        <v>458</v>
      </c>
      <c r="B547" s="31"/>
      <c r="C547" s="50" t="s">
        <v>583</v>
      </c>
      <c r="D547" s="46">
        <v>1</v>
      </c>
      <c r="E547" s="28">
        <v>0</v>
      </c>
      <c r="F547" s="32">
        <f t="shared" ref="F547:F548" si="103">D547*(1+E547)</f>
        <v>1</v>
      </c>
      <c r="G547" s="29" t="s">
        <v>66</v>
      </c>
      <c r="H547" s="29"/>
      <c r="I547" s="29"/>
      <c r="J547" s="33"/>
      <c r="K547" s="34">
        <f t="shared" ref="K547:K548" si="104">J547*F547</f>
        <v>0</v>
      </c>
      <c r="L547" s="35"/>
    </row>
    <row r="548" spans="1:12" s="37" customFormat="1" x14ac:dyDescent="0.25">
      <c r="A548" s="30">
        <f>IF(F548&lt;&gt;"",1+MAX($A$7:A547),"")</f>
        <v>459</v>
      </c>
      <c r="B548" s="31"/>
      <c r="C548" s="50" t="s">
        <v>584</v>
      </c>
      <c r="D548" s="46">
        <v>1</v>
      </c>
      <c r="E548" s="28">
        <v>0</v>
      </c>
      <c r="F548" s="32">
        <f t="shared" si="103"/>
        <v>1</v>
      </c>
      <c r="G548" s="29" t="s">
        <v>66</v>
      </c>
      <c r="H548" s="29"/>
      <c r="I548" s="29"/>
      <c r="J548" s="33"/>
      <c r="K548" s="34">
        <f t="shared" si="104"/>
        <v>0</v>
      </c>
      <c r="L548" s="35"/>
    </row>
    <row r="549" spans="1:12" s="37" customFormat="1" ht="15.75" thickBot="1" x14ac:dyDescent="0.3">
      <c r="A549" s="30" t="str">
        <f>IF(F549&lt;&gt;"",1+MAX($A$7:A548),"")</f>
        <v/>
      </c>
      <c r="B549" s="31"/>
      <c r="C549" s="50"/>
      <c r="D549" s="46"/>
      <c r="E549" s="28"/>
      <c r="F549" s="32"/>
      <c r="G549" s="29"/>
      <c r="H549" s="29"/>
      <c r="I549" s="29"/>
      <c r="J549" s="33"/>
      <c r="K549" s="34"/>
      <c r="L549" s="35"/>
    </row>
    <row r="550" spans="1:12" ht="15.75" thickBot="1" x14ac:dyDescent="0.3">
      <c r="A550" s="99" t="str">
        <f>IF(F550&lt;&gt;"",1+MAX($A$7:A549),"")</f>
        <v/>
      </c>
      <c r="B550" s="7" t="s">
        <v>51</v>
      </c>
      <c r="C550" s="48" t="s">
        <v>36</v>
      </c>
      <c r="D550" s="102"/>
      <c r="E550" s="8"/>
      <c r="F550" s="8"/>
      <c r="G550" s="7"/>
      <c r="H550" s="7"/>
      <c r="I550" s="7"/>
      <c r="J550" s="25"/>
      <c r="K550" s="21"/>
      <c r="L550" s="9">
        <f>SUM(K551:K637)</f>
        <v>0</v>
      </c>
    </row>
    <row r="551" spans="1:12" s="37" customFormat="1" x14ac:dyDescent="0.25">
      <c r="A551" s="30" t="str">
        <f>IF(F551&lt;&gt;"",1+MAX($A$7:A550),"")</f>
        <v/>
      </c>
      <c r="B551" s="31"/>
      <c r="C551" s="50"/>
      <c r="D551" s="46"/>
      <c r="E551" s="28"/>
      <c r="F551" s="32"/>
      <c r="G551" s="29"/>
      <c r="H551" s="29"/>
      <c r="I551" s="29"/>
      <c r="J551" s="33"/>
      <c r="K551" s="34"/>
      <c r="L551" s="35"/>
    </row>
    <row r="552" spans="1:12" s="37" customFormat="1" x14ac:dyDescent="0.25">
      <c r="A552" s="30" t="str">
        <f>IF(F552&lt;&gt;"",1+MAX($A$7:A551),"")</f>
        <v/>
      </c>
      <c r="B552" s="31"/>
      <c r="C552" s="45" t="s">
        <v>295</v>
      </c>
      <c r="D552" s="46"/>
      <c r="E552" s="28"/>
      <c r="F552" s="32"/>
      <c r="G552" s="29"/>
      <c r="H552" s="29"/>
      <c r="I552" s="29"/>
      <c r="J552" s="33"/>
      <c r="K552" s="34"/>
      <c r="L552" s="35"/>
    </row>
    <row r="553" spans="1:12" s="37" customFormat="1" x14ac:dyDescent="0.25">
      <c r="A553" s="30">
        <f>IF(F553&lt;&gt;"",1+MAX($A$7:A552),"")</f>
        <v>460</v>
      </c>
      <c r="B553" s="31"/>
      <c r="C553" s="43" t="s">
        <v>255</v>
      </c>
      <c r="D553" s="44">
        <f>8107+628+2000</f>
        <v>10735</v>
      </c>
      <c r="E553" s="28">
        <v>0.1</v>
      </c>
      <c r="F553" s="32">
        <f t="shared" ref="F553" si="105">D553*(1+E553)</f>
        <v>11808.500000000002</v>
      </c>
      <c r="G553" s="29" t="s">
        <v>275</v>
      </c>
      <c r="H553" s="29"/>
      <c r="I553" s="29"/>
      <c r="J553" s="33"/>
      <c r="K553" s="34">
        <f t="shared" ref="K553" si="106">J553*F553</f>
        <v>0</v>
      </c>
      <c r="L553" s="35"/>
    </row>
    <row r="554" spans="1:12" s="37" customFormat="1" x14ac:dyDescent="0.25">
      <c r="A554" s="30">
        <f>IF(F554&lt;&gt;"",1+MAX($A$7:A553),"")</f>
        <v>461</v>
      </c>
      <c r="B554" s="31"/>
      <c r="C554" s="43" t="s">
        <v>261</v>
      </c>
      <c r="D554" s="44">
        <f>1057.08+2223.03+2000+830.13+930+930</f>
        <v>7970.2400000000007</v>
      </c>
      <c r="E554" s="28">
        <v>0.1</v>
      </c>
      <c r="F554" s="32">
        <f t="shared" ref="F554:F557" si="107">D554*(1+E554)</f>
        <v>8767.264000000001</v>
      </c>
      <c r="G554" s="29" t="s">
        <v>275</v>
      </c>
      <c r="H554" s="29"/>
      <c r="I554" s="29"/>
      <c r="J554" s="33"/>
      <c r="K554" s="34">
        <f t="shared" ref="K554:K557" si="108">J554*F554</f>
        <v>0</v>
      </c>
      <c r="L554" s="35"/>
    </row>
    <row r="555" spans="1:12" s="37" customFormat="1" x14ac:dyDescent="0.25">
      <c r="A555" s="30">
        <f>IF(F555&lt;&gt;"",1+MAX($A$7:A554),"")</f>
        <v>462</v>
      </c>
      <c r="B555" s="31"/>
      <c r="C555" s="43" t="s">
        <v>262</v>
      </c>
      <c r="D555" s="44">
        <f>1290+3075+753</f>
        <v>5118</v>
      </c>
      <c r="E555" s="28">
        <v>0.1</v>
      </c>
      <c r="F555" s="32">
        <f t="shared" si="107"/>
        <v>5629.8</v>
      </c>
      <c r="G555" s="29" t="s">
        <v>275</v>
      </c>
      <c r="H555" s="29"/>
      <c r="I555" s="29"/>
      <c r="J555" s="33"/>
      <c r="K555" s="34">
        <f t="shared" si="108"/>
        <v>0</v>
      </c>
      <c r="L555" s="35"/>
    </row>
    <row r="556" spans="1:12" s="37" customFormat="1" x14ac:dyDescent="0.25">
      <c r="A556" s="30">
        <f>IF(F556&lt;&gt;"",1+MAX($A$7:A555),"")</f>
        <v>463</v>
      </c>
      <c r="B556" s="31"/>
      <c r="C556" s="43" t="s">
        <v>264</v>
      </c>
      <c r="D556" s="44">
        <v>190.5</v>
      </c>
      <c r="E556" s="28">
        <v>0.1</v>
      </c>
      <c r="F556" s="32">
        <f t="shared" si="107"/>
        <v>209.55</v>
      </c>
      <c r="G556" s="29" t="s">
        <v>275</v>
      </c>
      <c r="H556" s="29"/>
      <c r="I556" s="29"/>
      <c r="J556" s="33"/>
      <c r="K556" s="34">
        <f t="shared" si="108"/>
        <v>0</v>
      </c>
      <c r="L556" s="35"/>
    </row>
    <row r="557" spans="1:12" s="37" customFormat="1" x14ac:dyDescent="0.25">
      <c r="A557" s="30">
        <f>IF(F557&lt;&gt;"",1+MAX($A$7:A556),"")</f>
        <v>464</v>
      </c>
      <c r="B557" s="31"/>
      <c r="C557" s="43" t="s">
        <v>266</v>
      </c>
      <c r="D557" s="44">
        <v>310</v>
      </c>
      <c r="E557" s="28">
        <v>0.1</v>
      </c>
      <c r="F557" s="32">
        <f t="shared" si="107"/>
        <v>341</v>
      </c>
      <c r="G557" s="29" t="s">
        <v>275</v>
      </c>
      <c r="H557" s="29"/>
      <c r="I557" s="29"/>
      <c r="J557" s="33"/>
      <c r="K557" s="34">
        <f t="shared" si="108"/>
        <v>0</v>
      </c>
      <c r="L557" s="35"/>
    </row>
    <row r="558" spans="1:12" s="37" customFormat="1" x14ac:dyDescent="0.25">
      <c r="A558" s="30">
        <f>IF(F558&lt;&gt;"",1+MAX($A$7:A557),"")</f>
        <v>465</v>
      </c>
      <c r="B558" s="31"/>
      <c r="C558" s="43" t="s">
        <v>296</v>
      </c>
      <c r="D558" s="44">
        <v>600</v>
      </c>
      <c r="E558" s="28">
        <v>0.1</v>
      </c>
      <c r="F558" s="32">
        <f t="shared" ref="F558" si="109">D558*(1+E558)</f>
        <v>660</v>
      </c>
      <c r="G558" s="29" t="s">
        <v>65</v>
      </c>
      <c r="H558" s="29"/>
      <c r="I558" s="29"/>
      <c r="J558" s="33"/>
      <c r="K558" s="34">
        <f t="shared" ref="K558" si="110">J558*F558</f>
        <v>0</v>
      </c>
      <c r="L558" s="35"/>
    </row>
    <row r="559" spans="1:12" s="37" customFormat="1" x14ac:dyDescent="0.25">
      <c r="A559" s="30">
        <f>IF(F559&lt;&gt;"",1+MAX($A$7:A558),"")</f>
        <v>466</v>
      </c>
      <c r="B559" s="31"/>
      <c r="C559" s="43" t="s">
        <v>297</v>
      </c>
      <c r="D559" s="44">
        <v>304.37</v>
      </c>
      <c r="E559" s="28">
        <v>0.1</v>
      </c>
      <c r="F559" s="32">
        <f t="shared" ref="F559:F560" si="111">D559*(1+E559)</f>
        <v>334.80700000000002</v>
      </c>
      <c r="G559" s="29" t="s">
        <v>65</v>
      </c>
      <c r="H559" s="29"/>
      <c r="I559" s="29"/>
      <c r="J559" s="33"/>
      <c r="K559" s="34">
        <f t="shared" ref="K559:K560" si="112">J559*F559</f>
        <v>0</v>
      </c>
      <c r="L559" s="35"/>
    </row>
    <row r="560" spans="1:12" s="37" customFormat="1" x14ac:dyDescent="0.25">
      <c r="A560" s="30">
        <f>IF(F560&lt;&gt;"",1+MAX($A$7:A559),"")</f>
        <v>467</v>
      </c>
      <c r="B560" s="31"/>
      <c r="C560" s="43" t="s">
        <v>298</v>
      </c>
      <c r="D560" s="44">
        <v>215.334</v>
      </c>
      <c r="E560" s="28">
        <v>0.1</v>
      </c>
      <c r="F560" s="32">
        <f t="shared" si="111"/>
        <v>236.86740000000003</v>
      </c>
      <c r="G560" s="29" t="s">
        <v>65</v>
      </c>
      <c r="H560" s="29"/>
      <c r="I560" s="29"/>
      <c r="J560" s="33"/>
      <c r="K560" s="34">
        <f t="shared" si="112"/>
        <v>0</v>
      </c>
      <c r="L560" s="35"/>
    </row>
    <row r="561" spans="1:12" s="37" customFormat="1" x14ac:dyDescent="0.25">
      <c r="A561" s="30" t="str">
        <f>IF(F561&lt;&gt;"",1+MAX($A$7:A560),"")</f>
        <v/>
      </c>
      <c r="B561" s="31"/>
      <c r="C561" s="50"/>
      <c r="D561" s="46"/>
      <c r="E561" s="28"/>
      <c r="F561" s="32"/>
      <c r="G561" s="29"/>
      <c r="H561" s="29"/>
      <c r="I561" s="29"/>
      <c r="J561" s="33"/>
      <c r="K561" s="34"/>
      <c r="L561" s="35"/>
    </row>
    <row r="562" spans="1:12" s="37" customFormat="1" x14ac:dyDescent="0.25">
      <c r="A562" s="30" t="str">
        <f>IF(F562&lt;&gt;"",1+MAX($A$7:A561),"")</f>
        <v/>
      </c>
      <c r="B562" s="31"/>
      <c r="C562" s="49" t="s">
        <v>248</v>
      </c>
      <c r="D562" s="44"/>
      <c r="E562" s="28"/>
      <c r="F562" s="32"/>
      <c r="G562" s="29"/>
      <c r="H562" s="29"/>
      <c r="I562" s="29"/>
      <c r="J562" s="33"/>
      <c r="K562" s="34"/>
      <c r="L562" s="35"/>
    </row>
    <row r="563" spans="1:12" s="37" customFormat="1" x14ac:dyDescent="0.25">
      <c r="A563" s="30">
        <f>IF(F563&lt;&gt;"",1+MAX($A$7:A562),"")</f>
        <v>468</v>
      </c>
      <c r="B563" s="31"/>
      <c r="C563" s="43" t="s">
        <v>323</v>
      </c>
      <c r="D563" s="44">
        <v>84403</v>
      </c>
      <c r="E563" s="28">
        <v>0.1</v>
      </c>
      <c r="F563" s="32">
        <f t="shared" ref="F563:F572" si="113">D563*(1+E563)</f>
        <v>92843.3</v>
      </c>
      <c r="G563" s="29" t="s">
        <v>275</v>
      </c>
      <c r="H563" s="29"/>
      <c r="I563" s="29"/>
      <c r="J563" s="33"/>
      <c r="K563" s="34">
        <f t="shared" ref="K563:K572" si="114">J563*F563</f>
        <v>0</v>
      </c>
      <c r="L563" s="35"/>
    </row>
    <row r="564" spans="1:12" s="37" customFormat="1" x14ac:dyDescent="0.25">
      <c r="A564" s="30">
        <f>IF(F564&lt;&gt;"",1+MAX($A$7:A563),"")</f>
        <v>469</v>
      </c>
      <c r="B564" s="31"/>
      <c r="C564" s="43" t="s">
        <v>324</v>
      </c>
      <c r="D564" s="44">
        <v>4002</v>
      </c>
      <c r="E564" s="28">
        <v>0.1</v>
      </c>
      <c r="F564" s="32">
        <f t="shared" si="113"/>
        <v>4402.2000000000007</v>
      </c>
      <c r="G564" s="29" t="s">
        <v>275</v>
      </c>
      <c r="H564" s="29"/>
      <c r="I564" s="29"/>
      <c r="J564" s="33"/>
      <c r="K564" s="34">
        <f t="shared" si="114"/>
        <v>0</v>
      </c>
      <c r="L564" s="35"/>
    </row>
    <row r="565" spans="1:12" s="37" customFormat="1" ht="30" x14ac:dyDescent="0.25">
      <c r="A565" s="30">
        <f>IF(F565&lt;&gt;"",1+MAX($A$7:A564),"")</f>
        <v>470</v>
      </c>
      <c r="B565" s="31"/>
      <c r="C565" s="43" t="s">
        <v>325</v>
      </c>
      <c r="D565" s="44">
        <v>14118</v>
      </c>
      <c r="E565" s="28">
        <v>0.1</v>
      </c>
      <c r="F565" s="32">
        <f t="shared" si="113"/>
        <v>15529.800000000001</v>
      </c>
      <c r="G565" s="29" t="s">
        <v>275</v>
      </c>
      <c r="H565" s="29"/>
      <c r="I565" s="29"/>
      <c r="J565" s="33"/>
      <c r="K565" s="34">
        <f t="shared" si="114"/>
        <v>0</v>
      </c>
      <c r="L565" s="35"/>
    </row>
    <row r="566" spans="1:12" s="37" customFormat="1" ht="30" x14ac:dyDescent="0.25">
      <c r="A566" s="30">
        <f>IF(F566&lt;&gt;"",1+MAX($A$7:A565),"")</f>
        <v>471</v>
      </c>
      <c r="B566" s="31"/>
      <c r="C566" s="43" t="s">
        <v>326</v>
      </c>
      <c r="D566" s="44">
        <v>2112</v>
      </c>
      <c r="E566" s="28">
        <v>0.1</v>
      </c>
      <c r="F566" s="32">
        <f t="shared" si="113"/>
        <v>2323.2000000000003</v>
      </c>
      <c r="G566" s="29" t="s">
        <v>275</v>
      </c>
      <c r="H566" s="29"/>
      <c r="I566" s="29"/>
      <c r="J566" s="33"/>
      <c r="K566" s="34">
        <f t="shared" si="114"/>
        <v>0</v>
      </c>
      <c r="L566" s="35"/>
    </row>
    <row r="567" spans="1:12" s="37" customFormat="1" ht="30" x14ac:dyDescent="0.25">
      <c r="A567" s="30">
        <f>IF(F567&lt;&gt;"",1+MAX($A$7:A566),"")</f>
        <v>472</v>
      </c>
      <c r="B567" s="31"/>
      <c r="C567" s="43" t="s">
        <v>327</v>
      </c>
      <c r="D567" s="44">
        <v>1071</v>
      </c>
      <c r="E567" s="28">
        <v>0.1</v>
      </c>
      <c r="F567" s="32">
        <f t="shared" si="113"/>
        <v>1178.1000000000001</v>
      </c>
      <c r="G567" s="29" t="s">
        <v>275</v>
      </c>
      <c r="H567" s="29"/>
      <c r="I567" s="29"/>
      <c r="J567" s="33"/>
      <c r="K567" s="34">
        <f t="shared" si="114"/>
        <v>0</v>
      </c>
      <c r="L567" s="35"/>
    </row>
    <row r="568" spans="1:12" s="37" customFormat="1" x14ac:dyDescent="0.25">
      <c r="A568" s="30">
        <f>IF(F568&lt;&gt;"",1+MAX($A$7:A567),"")</f>
        <v>473</v>
      </c>
      <c r="B568" s="31"/>
      <c r="C568" s="43" t="s">
        <v>328</v>
      </c>
      <c r="D568" s="44">
        <v>1195</v>
      </c>
      <c r="E568" s="28">
        <v>0.1</v>
      </c>
      <c r="F568" s="32">
        <f t="shared" si="113"/>
        <v>1314.5</v>
      </c>
      <c r="G568" s="29" t="s">
        <v>275</v>
      </c>
      <c r="H568" s="29"/>
      <c r="I568" s="29"/>
      <c r="J568" s="33"/>
      <c r="K568" s="34">
        <f t="shared" si="114"/>
        <v>0</v>
      </c>
      <c r="L568" s="35"/>
    </row>
    <row r="569" spans="1:12" s="37" customFormat="1" x14ac:dyDescent="0.25">
      <c r="A569" s="30">
        <f>IF(F569&lt;&gt;"",1+MAX($A$7:A568),"")</f>
        <v>474</v>
      </c>
      <c r="B569" s="31"/>
      <c r="C569" s="43" t="s">
        <v>329</v>
      </c>
      <c r="D569" s="44">
        <v>500</v>
      </c>
      <c r="E569" s="28">
        <v>0.1</v>
      </c>
      <c r="F569" s="32">
        <f t="shared" si="113"/>
        <v>550</v>
      </c>
      <c r="G569" s="29" t="s">
        <v>275</v>
      </c>
      <c r="H569" s="29"/>
      <c r="I569" s="29"/>
      <c r="J569" s="33"/>
      <c r="K569" s="34">
        <f t="shared" si="114"/>
        <v>0</v>
      </c>
      <c r="L569" s="35"/>
    </row>
    <row r="570" spans="1:12" s="37" customFormat="1" x14ac:dyDescent="0.25">
      <c r="A570" s="30">
        <f>IF(F570&lt;&gt;"",1+MAX($A$7:A569),"")</f>
        <v>475</v>
      </c>
      <c r="B570" s="31"/>
      <c r="C570" s="43" t="s">
        <v>330</v>
      </c>
      <c r="D570" s="44">
        <v>1251</v>
      </c>
      <c r="E570" s="28">
        <v>0.1</v>
      </c>
      <c r="F570" s="32">
        <f t="shared" si="113"/>
        <v>1376.1000000000001</v>
      </c>
      <c r="G570" s="29" t="s">
        <v>275</v>
      </c>
      <c r="H570" s="29"/>
      <c r="I570" s="29"/>
      <c r="J570" s="33"/>
      <c r="K570" s="34">
        <f t="shared" si="114"/>
        <v>0</v>
      </c>
      <c r="L570" s="35"/>
    </row>
    <row r="571" spans="1:12" s="37" customFormat="1" x14ac:dyDescent="0.25">
      <c r="A571" s="30">
        <f>IF(F571&lt;&gt;"",1+MAX($A$7:A570),"")</f>
        <v>476</v>
      </c>
      <c r="B571" s="31"/>
      <c r="C571" s="43" t="s">
        <v>331</v>
      </c>
      <c r="D571" s="44">
        <v>6974</v>
      </c>
      <c r="E571" s="28">
        <v>0.1</v>
      </c>
      <c r="F571" s="32">
        <f t="shared" si="113"/>
        <v>7671.4000000000005</v>
      </c>
      <c r="G571" s="29" t="s">
        <v>275</v>
      </c>
      <c r="H571" s="29"/>
      <c r="I571" s="29"/>
      <c r="J571" s="33"/>
      <c r="K571" s="34">
        <f t="shared" si="114"/>
        <v>0</v>
      </c>
      <c r="L571" s="35"/>
    </row>
    <row r="572" spans="1:12" s="37" customFormat="1" ht="30" x14ac:dyDescent="0.25">
      <c r="A572" s="30">
        <f>IF(F572&lt;&gt;"",1+MAX($A$7:A571),"")</f>
        <v>477</v>
      </c>
      <c r="B572" s="31"/>
      <c r="C572" s="43" t="s">
        <v>332</v>
      </c>
      <c r="D572" s="44">
        <v>6291</v>
      </c>
      <c r="E572" s="28">
        <v>0.1</v>
      </c>
      <c r="F572" s="32">
        <f t="shared" si="113"/>
        <v>6920.1</v>
      </c>
      <c r="G572" s="29" t="s">
        <v>275</v>
      </c>
      <c r="H572" s="29"/>
      <c r="I572" s="29"/>
      <c r="J572" s="33"/>
      <c r="K572" s="34">
        <f t="shared" si="114"/>
        <v>0</v>
      </c>
      <c r="L572" s="35"/>
    </row>
    <row r="573" spans="1:12" s="37" customFormat="1" ht="30" x14ac:dyDescent="0.25">
      <c r="A573" s="30">
        <f>IF(F573&lt;&gt;"",1+MAX($A$7:A572),"")</f>
        <v>478</v>
      </c>
      <c r="B573" s="31"/>
      <c r="C573" s="43" t="s">
        <v>354</v>
      </c>
      <c r="D573" s="44">
        <f>268*10</f>
        <v>2680</v>
      </c>
      <c r="E573" s="28">
        <v>0.1</v>
      </c>
      <c r="F573" s="32">
        <f t="shared" ref="F573:F582" si="115">D573*(1+E573)</f>
        <v>2948.0000000000005</v>
      </c>
      <c r="G573" s="29" t="s">
        <v>275</v>
      </c>
      <c r="H573" s="29"/>
      <c r="I573" s="29"/>
      <c r="J573" s="33"/>
      <c r="K573" s="34">
        <f t="shared" ref="K573:K582" si="116">J573*F573</f>
        <v>0</v>
      </c>
      <c r="L573" s="35"/>
    </row>
    <row r="574" spans="1:12" s="37" customFormat="1" ht="30" x14ac:dyDescent="0.25">
      <c r="A574" s="30">
        <f>IF(F574&lt;&gt;"",1+MAX($A$7:A573),"")</f>
        <v>479</v>
      </c>
      <c r="B574" s="31"/>
      <c r="C574" s="43" t="s">
        <v>355</v>
      </c>
      <c r="D574" s="44">
        <v>2060</v>
      </c>
      <c r="E574" s="28">
        <v>0.1</v>
      </c>
      <c r="F574" s="32">
        <f t="shared" si="115"/>
        <v>2266</v>
      </c>
      <c r="G574" s="29" t="s">
        <v>275</v>
      </c>
      <c r="H574" s="29"/>
      <c r="I574" s="29"/>
      <c r="J574" s="33"/>
      <c r="K574" s="34">
        <f t="shared" si="116"/>
        <v>0</v>
      </c>
      <c r="L574" s="35"/>
    </row>
    <row r="575" spans="1:12" s="37" customFormat="1" ht="30" x14ac:dyDescent="0.25">
      <c r="A575" s="30">
        <f>IF(F575&lt;&gt;"",1+MAX($A$7:A574),"")</f>
        <v>480</v>
      </c>
      <c r="B575" s="31"/>
      <c r="C575" s="43" t="s">
        <v>356</v>
      </c>
      <c r="D575" s="44">
        <f>460*7</f>
        <v>3220</v>
      </c>
      <c r="E575" s="28">
        <v>0.1</v>
      </c>
      <c r="F575" s="32">
        <f t="shared" si="115"/>
        <v>3542.0000000000005</v>
      </c>
      <c r="G575" s="29" t="s">
        <v>275</v>
      </c>
      <c r="H575" s="29"/>
      <c r="I575" s="29"/>
      <c r="J575" s="33"/>
      <c r="K575" s="34">
        <f t="shared" si="116"/>
        <v>0</v>
      </c>
      <c r="L575" s="35"/>
    </row>
    <row r="576" spans="1:12" s="37" customFormat="1" ht="45" x14ac:dyDescent="0.25">
      <c r="A576" s="30">
        <f>IF(F576&lt;&gt;"",1+MAX($A$7:A575),"")</f>
        <v>481</v>
      </c>
      <c r="B576" s="31"/>
      <c r="C576" s="43" t="s">
        <v>337</v>
      </c>
      <c r="D576" s="44">
        <f>460*6.25</f>
        <v>2875</v>
      </c>
      <c r="E576" s="28">
        <v>0.1</v>
      </c>
      <c r="F576" s="32">
        <f t="shared" si="115"/>
        <v>3162.5000000000005</v>
      </c>
      <c r="G576" s="29" t="s">
        <v>275</v>
      </c>
      <c r="H576" s="29"/>
      <c r="I576" s="29"/>
      <c r="J576" s="33"/>
      <c r="K576" s="34">
        <f t="shared" si="116"/>
        <v>0</v>
      </c>
      <c r="L576" s="35"/>
    </row>
    <row r="577" spans="1:12" s="37" customFormat="1" ht="30" x14ac:dyDescent="0.25">
      <c r="A577" s="30">
        <f>IF(F577&lt;&gt;"",1+MAX($A$7:A576),"")</f>
        <v>482</v>
      </c>
      <c r="B577" s="31"/>
      <c r="C577" s="43" t="s">
        <v>338</v>
      </c>
      <c r="D577" s="44">
        <v>1016</v>
      </c>
      <c r="E577" s="28">
        <v>0.1</v>
      </c>
      <c r="F577" s="32">
        <f t="shared" si="115"/>
        <v>1117.6000000000001</v>
      </c>
      <c r="G577" s="29" t="s">
        <v>275</v>
      </c>
      <c r="H577" s="29"/>
      <c r="I577" s="29"/>
      <c r="J577" s="33"/>
      <c r="K577" s="34">
        <f t="shared" si="116"/>
        <v>0</v>
      </c>
      <c r="L577" s="35"/>
    </row>
    <row r="578" spans="1:12" s="37" customFormat="1" x14ac:dyDescent="0.25">
      <c r="A578" s="30">
        <f>IF(F578&lt;&gt;"",1+MAX($A$7:A577),"")</f>
        <v>483</v>
      </c>
      <c r="B578" s="31"/>
      <c r="C578" s="43" t="s">
        <v>339</v>
      </c>
      <c r="D578" s="44">
        <v>360</v>
      </c>
      <c r="E578" s="28">
        <v>0.1</v>
      </c>
      <c r="F578" s="32">
        <f t="shared" si="115"/>
        <v>396.00000000000006</v>
      </c>
      <c r="G578" s="29" t="s">
        <v>275</v>
      </c>
      <c r="H578" s="29"/>
      <c r="I578" s="29"/>
      <c r="J578" s="33"/>
      <c r="K578" s="34">
        <f t="shared" si="116"/>
        <v>0</v>
      </c>
      <c r="L578" s="35"/>
    </row>
    <row r="579" spans="1:12" s="37" customFormat="1" ht="30" x14ac:dyDescent="0.25">
      <c r="A579" s="30">
        <f>IF(F579&lt;&gt;"",1+MAX($A$7:A578),"")</f>
        <v>484</v>
      </c>
      <c r="B579" s="31"/>
      <c r="C579" s="43" t="s">
        <v>340</v>
      </c>
      <c r="D579" s="44">
        <v>400</v>
      </c>
      <c r="E579" s="28">
        <v>0.1</v>
      </c>
      <c r="F579" s="32">
        <f t="shared" si="115"/>
        <v>440.00000000000006</v>
      </c>
      <c r="G579" s="29" t="s">
        <v>275</v>
      </c>
      <c r="H579" s="29"/>
      <c r="I579" s="29"/>
      <c r="J579" s="33"/>
      <c r="K579" s="34">
        <f t="shared" si="116"/>
        <v>0</v>
      </c>
      <c r="L579" s="35"/>
    </row>
    <row r="580" spans="1:12" s="37" customFormat="1" x14ac:dyDescent="0.25">
      <c r="A580" s="30">
        <f>IF(F580&lt;&gt;"",1+MAX($A$7:A579),"")</f>
        <v>485</v>
      </c>
      <c r="B580" s="31"/>
      <c r="C580" s="43" t="s">
        <v>341</v>
      </c>
      <c r="D580" s="44">
        <v>2540</v>
      </c>
      <c r="E580" s="28">
        <v>0.1</v>
      </c>
      <c r="F580" s="32">
        <f t="shared" si="115"/>
        <v>2794</v>
      </c>
      <c r="G580" s="29" t="s">
        <v>275</v>
      </c>
      <c r="H580" s="29"/>
      <c r="I580" s="29"/>
      <c r="J580" s="33"/>
      <c r="K580" s="34">
        <f t="shared" si="116"/>
        <v>0</v>
      </c>
      <c r="L580" s="35"/>
    </row>
    <row r="581" spans="1:12" s="37" customFormat="1" ht="30" x14ac:dyDescent="0.25">
      <c r="A581" s="30">
        <f>IF(F581&lt;&gt;"",1+MAX($A$7:A580),"")</f>
        <v>486</v>
      </c>
      <c r="B581" s="31"/>
      <c r="C581" s="43" t="s">
        <v>342</v>
      </c>
      <c r="D581" s="44">
        <v>1610</v>
      </c>
      <c r="E581" s="28">
        <v>0.1</v>
      </c>
      <c r="F581" s="32">
        <f t="shared" si="115"/>
        <v>1771.0000000000002</v>
      </c>
      <c r="G581" s="29" t="s">
        <v>275</v>
      </c>
      <c r="H581" s="29"/>
      <c r="I581" s="29"/>
      <c r="J581" s="33"/>
      <c r="K581" s="34">
        <f t="shared" si="116"/>
        <v>0</v>
      </c>
      <c r="L581" s="35"/>
    </row>
    <row r="582" spans="1:12" s="37" customFormat="1" x14ac:dyDescent="0.25">
      <c r="A582" s="30">
        <f>IF(F582&lt;&gt;"",1+MAX($A$7:A581),"")</f>
        <v>487</v>
      </c>
      <c r="B582" s="31"/>
      <c r="C582" s="43" t="s">
        <v>343</v>
      </c>
      <c r="D582" s="44">
        <v>60</v>
      </c>
      <c r="E582" s="28">
        <v>0.1</v>
      </c>
      <c r="F582" s="32">
        <f t="shared" si="115"/>
        <v>66</v>
      </c>
      <c r="G582" s="29" t="s">
        <v>275</v>
      </c>
      <c r="H582" s="29"/>
      <c r="I582" s="29"/>
      <c r="J582" s="33"/>
      <c r="K582" s="34">
        <f t="shared" si="116"/>
        <v>0</v>
      </c>
      <c r="L582" s="35"/>
    </row>
    <row r="583" spans="1:12" s="37" customFormat="1" ht="30" x14ac:dyDescent="0.25">
      <c r="A583" s="30">
        <f>IF(F583&lt;&gt;"",1+MAX($A$7:A582),"")</f>
        <v>488</v>
      </c>
      <c r="B583" s="31"/>
      <c r="C583" s="43" t="s">
        <v>957</v>
      </c>
      <c r="D583" s="44">
        <v>2790</v>
      </c>
      <c r="E583" s="28">
        <v>0.1</v>
      </c>
      <c r="F583" s="32">
        <f t="shared" ref="F583:F587" si="117">D583*(1+E583)</f>
        <v>3069.0000000000005</v>
      </c>
      <c r="G583" s="29" t="s">
        <v>275</v>
      </c>
      <c r="H583" s="29"/>
      <c r="I583" s="29"/>
      <c r="J583" s="33"/>
      <c r="K583" s="34">
        <f t="shared" ref="K583:K587" si="118">J583*F583</f>
        <v>0</v>
      </c>
      <c r="L583" s="35"/>
    </row>
    <row r="584" spans="1:12" s="37" customFormat="1" ht="30" x14ac:dyDescent="0.25">
      <c r="A584" s="30">
        <f>IF(F584&lt;&gt;"",1+MAX($A$7:A583),"")</f>
        <v>489</v>
      </c>
      <c r="B584" s="31"/>
      <c r="C584" s="43" t="s">
        <v>333</v>
      </c>
      <c r="D584" s="44">
        <v>4250</v>
      </c>
      <c r="E584" s="28">
        <v>0.1</v>
      </c>
      <c r="F584" s="32">
        <f t="shared" si="117"/>
        <v>4675</v>
      </c>
      <c r="G584" s="29" t="s">
        <v>275</v>
      </c>
      <c r="H584" s="29"/>
      <c r="I584" s="29"/>
      <c r="J584" s="33"/>
      <c r="K584" s="34">
        <f t="shared" si="118"/>
        <v>0</v>
      </c>
      <c r="L584" s="35"/>
    </row>
    <row r="585" spans="1:12" s="37" customFormat="1" x14ac:dyDescent="0.25">
      <c r="A585" s="30">
        <f>IF(F585&lt;&gt;"",1+MAX($A$7:A584),"")</f>
        <v>490</v>
      </c>
      <c r="B585" s="31"/>
      <c r="C585" s="37" t="s">
        <v>334</v>
      </c>
      <c r="D585" s="46">
        <v>1870</v>
      </c>
      <c r="E585" s="28">
        <v>0.1</v>
      </c>
      <c r="F585" s="32">
        <f t="shared" si="117"/>
        <v>2057</v>
      </c>
      <c r="G585" s="29" t="s">
        <v>275</v>
      </c>
      <c r="H585" s="29"/>
      <c r="I585" s="29"/>
      <c r="J585" s="33"/>
      <c r="K585" s="34">
        <f t="shared" si="118"/>
        <v>0</v>
      </c>
      <c r="L585" s="35"/>
    </row>
    <row r="586" spans="1:12" s="37" customFormat="1" x14ac:dyDescent="0.25">
      <c r="A586" s="30">
        <f>IF(F586&lt;&gt;"",1+MAX($A$7:A585),"")</f>
        <v>491</v>
      </c>
      <c r="B586" s="31"/>
      <c r="C586" s="37" t="s">
        <v>335</v>
      </c>
      <c r="D586" s="46">
        <v>2940</v>
      </c>
      <c r="E586" s="28">
        <v>0.1</v>
      </c>
      <c r="F586" s="32">
        <f t="shared" si="117"/>
        <v>3234.0000000000005</v>
      </c>
      <c r="G586" s="29" t="s">
        <v>275</v>
      </c>
      <c r="H586" s="29"/>
      <c r="I586" s="29"/>
      <c r="J586" s="33"/>
      <c r="K586" s="34">
        <f t="shared" si="118"/>
        <v>0</v>
      </c>
      <c r="L586" s="35"/>
    </row>
    <row r="587" spans="1:12" s="37" customFormat="1" x14ac:dyDescent="0.25">
      <c r="A587" s="30">
        <f>IF(F587&lt;&gt;"",1+MAX($A$7:A586),"")</f>
        <v>492</v>
      </c>
      <c r="B587" s="31"/>
      <c r="C587" s="37" t="s">
        <v>336</v>
      </c>
      <c r="D587" s="44">
        <v>260</v>
      </c>
      <c r="E587" s="28">
        <v>0.1</v>
      </c>
      <c r="F587" s="32">
        <f t="shared" si="117"/>
        <v>286</v>
      </c>
      <c r="G587" s="29" t="s">
        <v>275</v>
      </c>
      <c r="H587" s="29"/>
      <c r="I587" s="29"/>
      <c r="J587" s="33"/>
      <c r="K587" s="34">
        <f t="shared" si="118"/>
        <v>0</v>
      </c>
      <c r="L587" s="35"/>
    </row>
    <row r="588" spans="1:12" s="37" customFormat="1" x14ac:dyDescent="0.25">
      <c r="A588" s="30">
        <f>IF(F588&lt;&gt;"",1+MAX($A$7:A587),"")</f>
        <v>493</v>
      </c>
      <c r="B588" s="31"/>
      <c r="C588" s="37" t="s">
        <v>369</v>
      </c>
      <c r="D588" s="44">
        <f>272*12</f>
        <v>3264</v>
      </c>
      <c r="E588" s="28">
        <v>0.1</v>
      </c>
      <c r="F588" s="32">
        <f t="shared" ref="F588" si="119">D588*(1+E588)</f>
        <v>3590.4</v>
      </c>
      <c r="G588" s="29" t="s">
        <v>275</v>
      </c>
      <c r="H588" s="29"/>
      <c r="I588" s="29"/>
      <c r="J588" s="33"/>
      <c r="K588" s="34">
        <f t="shared" ref="K588" si="120">J588*F588</f>
        <v>0</v>
      </c>
      <c r="L588" s="35"/>
    </row>
    <row r="589" spans="1:12" s="37" customFormat="1" x14ac:dyDescent="0.25">
      <c r="A589" s="30">
        <f>IF(F589&lt;&gt;"",1+MAX($A$7:A588),"")</f>
        <v>494</v>
      </c>
      <c r="B589" s="31"/>
      <c r="C589" s="37" t="s">
        <v>303</v>
      </c>
      <c r="D589" s="44">
        <f>62*5</f>
        <v>310</v>
      </c>
      <c r="E589" s="28">
        <v>0.1</v>
      </c>
      <c r="F589" s="32">
        <f t="shared" ref="F589" si="121">D589*(1+E589)</f>
        <v>341</v>
      </c>
      <c r="G589" s="29" t="s">
        <v>65</v>
      </c>
      <c r="H589" s="29"/>
      <c r="I589" s="29"/>
      <c r="J589" s="33"/>
      <c r="K589" s="34">
        <f t="shared" ref="K589" si="122">J589*F589</f>
        <v>0</v>
      </c>
      <c r="L589" s="35"/>
    </row>
    <row r="590" spans="1:12" s="37" customFormat="1" x14ac:dyDescent="0.25">
      <c r="A590" s="30" t="str">
        <f>IF(F590&lt;&gt;"",1+MAX($A$7:A589),"")</f>
        <v/>
      </c>
      <c r="B590" s="31"/>
      <c r="D590" s="44"/>
      <c r="E590" s="28"/>
      <c r="F590" s="32"/>
      <c r="G590" s="29"/>
      <c r="H590" s="29"/>
      <c r="I590" s="29"/>
      <c r="J590" s="33"/>
      <c r="K590" s="34"/>
      <c r="L590" s="35"/>
    </row>
    <row r="591" spans="1:12" s="37" customFormat="1" x14ac:dyDescent="0.25">
      <c r="A591" s="30" t="str">
        <f>IF(F591&lt;&gt;"",1+MAX($A$7:A590),"")</f>
        <v/>
      </c>
      <c r="B591" s="31"/>
      <c r="C591" s="49" t="s">
        <v>299</v>
      </c>
      <c r="D591" s="44"/>
      <c r="E591" s="28"/>
      <c r="F591" s="32"/>
      <c r="G591" s="29"/>
      <c r="H591" s="29"/>
      <c r="I591" s="29"/>
      <c r="J591" s="33"/>
      <c r="K591" s="34"/>
      <c r="L591" s="35"/>
    </row>
    <row r="592" spans="1:12" s="37" customFormat="1" ht="30" x14ac:dyDescent="0.25">
      <c r="A592" s="30">
        <f>IF(F592&lt;&gt;"",1+MAX($A$7:A591),"")</f>
        <v>495</v>
      </c>
      <c r="B592" s="31"/>
      <c r="C592" s="43" t="s">
        <v>319</v>
      </c>
      <c r="D592" s="44">
        <f>33.29+57.2+46+53+1328.44+43.2+1125.119+856+73+47+57+57.146</f>
        <v>3776.395</v>
      </c>
      <c r="E592" s="28">
        <v>0.1</v>
      </c>
      <c r="F592" s="32">
        <f t="shared" ref="F592" si="123">D592*(1+E592)</f>
        <v>4154.0345000000007</v>
      </c>
      <c r="G592" s="29" t="s">
        <v>65</v>
      </c>
      <c r="H592" s="29"/>
      <c r="I592" s="29"/>
      <c r="J592" s="33"/>
      <c r="K592" s="34">
        <f t="shared" ref="K592" si="124">J592*F592</f>
        <v>0</v>
      </c>
      <c r="L592" s="35"/>
    </row>
    <row r="593" spans="1:12" s="37" customFormat="1" ht="30" x14ac:dyDescent="0.25">
      <c r="A593" s="30">
        <f>IF(F593&lt;&gt;"",1+MAX($A$7:A592),"")</f>
        <v>496</v>
      </c>
      <c r="B593" s="31"/>
      <c r="C593" s="43" t="s">
        <v>320</v>
      </c>
      <c r="D593" s="44">
        <f>193-200+903.3883+66.63+315.68+129.7066+88.88+107.8+47.45+49+38+297*2+59+98+211+15.4+40.34+919+94.27+88</f>
        <v>3858.5449000000003</v>
      </c>
      <c r="E593" s="28">
        <v>0.1</v>
      </c>
      <c r="F593" s="32">
        <f t="shared" ref="F593:F595" si="125">D593*(1+E593)</f>
        <v>4244.3993900000005</v>
      </c>
      <c r="G593" s="29" t="s">
        <v>65</v>
      </c>
      <c r="H593" s="29"/>
      <c r="I593" s="29"/>
      <c r="J593" s="33"/>
      <c r="K593" s="34">
        <f t="shared" ref="K593:K595" si="126">J593*F593</f>
        <v>0</v>
      </c>
      <c r="L593" s="35"/>
    </row>
    <row r="594" spans="1:12" s="37" customFormat="1" ht="30" x14ac:dyDescent="0.25">
      <c r="A594" s="30">
        <f>IF(F594&lt;&gt;"",1+MAX($A$7:A593),"")</f>
        <v>497</v>
      </c>
      <c r="B594" s="31"/>
      <c r="C594" s="43" t="s">
        <v>322</v>
      </c>
      <c r="D594" s="44">
        <f>29+272.58+164+414.38+149.44</f>
        <v>1029.4000000000001</v>
      </c>
      <c r="E594" s="28">
        <v>0.1</v>
      </c>
      <c r="F594" s="32">
        <f t="shared" si="125"/>
        <v>1132.3400000000001</v>
      </c>
      <c r="G594" s="29" t="s">
        <v>65</v>
      </c>
      <c r="H594" s="29"/>
      <c r="I594" s="29"/>
      <c r="J594" s="33"/>
      <c r="K594" s="34">
        <f t="shared" si="126"/>
        <v>0</v>
      </c>
      <c r="L594" s="35"/>
    </row>
    <row r="595" spans="1:12" s="37" customFormat="1" x14ac:dyDescent="0.25">
      <c r="A595" s="30">
        <f>IF(F595&lt;&gt;"",1+MAX($A$7:A594),"")</f>
        <v>498</v>
      </c>
      <c r="B595" s="31"/>
      <c r="C595" s="43" t="s">
        <v>321</v>
      </c>
      <c r="D595" s="44">
        <f>630.04+141.1+159+89</f>
        <v>1019.14</v>
      </c>
      <c r="E595" s="28">
        <v>0.1</v>
      </c>
      <c r="F595" s="32">
        <f t="shared" si="125"/>
        <v>1121.0540000000001</v>
      </c>
      <c r="G595" s="29" t="s">
        <v>65</v>
      </c>
      <c r="H595" s="29"/>
      <c r="I595" s="29"/>
      <c r="J595" s="33"/>
      <c r="K595" s="34">
        <f t="shared" si="126"/>
        <v>0</v>
      </c>
      <c r="L595" s="35"/>
    </row>
    <row r="596" spans="1:12" s="37" customFormat="1" x14ac:dyDescent="0.25">
      <c r="A596" s="30" t="str">
        <f>IF(F596&lt;&gt;"",1+MAX($A$7:A595),"")</f>
        <v/>
      </c>
      <c r="B596" s="31"/>
      <c r="C596" s="49"/>
      <c r="D596" s="44"/>
      <c r="E596" s="28"/>
      <c r="F596" s="32"/>
      <c r="G596" s="29"/>
      <c r="H596" s="29"/>
      <c r="I596" s="29"/>
      <c r="J596" s="33"/>
      <c r="K596" s="34"/>
      <c r="L596" s="35"/>
    </row>
    <row r="597" spans="1:12" s="37" customFormat="1" x14ac:dyDescent="0.25">
      <c r="A597" s="30" t="str">
        <f>IF(F597&lt;&gt;"",1+MAX($A$7:A596),"")</f>
        <v/>
      </c>
      <c r="B597" s="31"/>
      <c r="C597" s="49" t="s">
        <v>301</v>
      </c>
      <c r="D597" s="44"/>
      <c r="E597" s="28"/>
      <c r="F597" s="32"/>
      <c r="G597" s="29"/>
      <c r="H597" s="29"/>
      <c r="I597" s="29"/>
      <c r="J597" s="33"/>
      <c r="K597" s="34"/>
      <c r="L597" s="35"/>
    </row>
    <row r="598" spans="1:12" s="37" customFormat="1" x14ac:dyDescent="0.25">
      <c r="A598" s="30">
        <f>IF(F598&lt;&gt;"",1+MAX($A$7:A597),"")</f>
        <v>499</v>
      </c>
      <c r="B598" s="31"/>
      <c r="C598" s="43" t="s">
        <v>312</v>
      </c>
      <c r="D598" s="44">
        <v>5171</v>
      </c>
      <c r="E598" s="28">
        <v>0.1</v>
      </c>
      <c r="F598" s="32">
        <f t="shared" ref="F598" si="127">D598*(1+E598)</f>
        <v>5688.1</v>
      </c>
      <c r="G598" s="29" t="s">
        <v>275</v>
      </c>
      <c r="H598" s="29"/>
      <c r="I598" s="29"/>
      <c r="J598" s="33"/>
      <c r="K598" s="34">
        <f t="shared" ref="K598" si="128">J598*F598</f>
        <v>0</v>
      </c>
      <c r="L598" s="35"/>
    </row>
    <row r="599" spans="1:12" s="37" customFormat="1" ht="30" x14ac:dyDescent="0.25">
      <c r="A599" s="30">
        <f>IF(F599&lt;&gt;"",1+MAX($A$7:A598),"")</f>
        <v>500</v>
      </c>
      <c r="B599" s="31"/>
      <c r="C599" s="43" t="s">
        <v>304</v>
      </c>
      <c r="D599" s="44">
        <f>204+161.92+175.52+4484.85+269.24+1104.64+306.56+187.4+393.78</f>
        <v>7287.91</v>
      </c>
      <c r="E599" s="28">
        <v>0.1</v>
      </c>
      <c r="F599" s="32">
        <f t="shared" ref="F599:F612" si="129">D599*(1+E599)</f>
        <v>8016.7010000000009</v>
      </c>
      <c r="G599" s="29" t="s">
        <v>275</v>
      </c>
      <c r="H599" s="29"/>
      <c r="I599" s="29"/>
      <c r="J599" s="33"/>
      <c r="K599" s="34">
        <f t="shared" ref="K599:K612" si="130">J599*F599</f>
        <v>0</v>
      </c>
      <c r="L599" s="35"/>
    </row>
    <row r="600" spans="1:12" s="37" customFormat="1" ht="30" x14ac:dyDescent="0.25">
      <c r="A600" s="30">
        <f>IF(F600&lt;&gt;"",1+MAX($A$7:A599),"")</f>
        <v>501</v>
      </c>
      <c r="B600" s="31"/>
      <c r="C600" s="43" t="s">
        <v>305</v>
      </c>
      <c r="D600" s="44">
        <f>5761.11+102+131+87</f>
        <v>6081.11</v>
      </c>
      <c r="E600" s="28">
        <v>0.1</v>
      </c>
      <c r="F600" s="32">
        <f t="shared" si="129"/>
        <v>6689.2210000000005</v>
      </c>
      <c r="G600" s="29" t="s">
        <v>275</v>
      </c>
      <c r="H600" s="29"/>
      <c r="I600" s="29"/>
      <c r="J600" s="33"/>
      <c r="K600" s="34">
        <f t="shared" si="130"/>
        <v>0</v>
      </c>
      <c r="L600" s="35"/>
    </row>
    <row r="601" spans="1:12" s="37" customFormat="1" ht="30" x14ac:dyDescent="0.25">
      <c r="A601" s="30">
        <f>IF(F601&lt;&gt;"",1+MAX($A$7:A600),"")</f>
        <v>502</v>
      </c>
      <c r="B601" s="31"/>
      <c r="C601" s="43" t="s">
        <v>306</v>
      </c>
      <c r="D601" s="44">
        <f>2196.51+638.17+527.12+302</f>
        <v>3663.8</v>
      </c>
      <c r="E601" s="28">
        <v>0.1</v>
      </c>
      <c r="F601" s="32">
        <f t="shared" si="129"/>
        <v>4030.1800000000007</v>
      </c>
      <c r="G601" s="29" t="s">
        <v>275</v>
      </c>
      <c r="H601" s="29"/>
      <c r="I601" s="29"/>
      <c r="J601" s="33"/>
      <c r="K601" s="34">
        <f t="shared" si="130"/>
        <v>0</v>
      </c>
      <c r="L601" s="35"/>
    </row>
    <row r="602" spans="1:12" s="37" customFormat="1" x14ac:dyDescent="0.25">
      <c r="A602" s="30">
        <f>IF(F602&lt;&gt;"",1+MAX($A$7:A601),"")</f>
        <v>503</v>
      </c>
      <c r="B602" s="31"/>
      <c r="C602" s="43" t="s">
        <v>307</v>
      </c>
      <c r="D602" s="44">
        <f>8580</f>
        <v>8580</v>
      </c>
      <c r="E602" s="28">
        <v>0.1</v>
      </c>
      <c r="F602" s="32">
        <f t="shared" si="129"/>
        <v>9438</v>
      </c>
      <c r="G602" s="29" t="s">
        <v>275</v>
      </c>
      <c r="H602" s="29"/>
      <c r="I602" s="29"/>
      <c r="J602" s="33"/>
      <c r="K602" s="34">
        <f t="shared" si="130"/>
        <v>0</v>
      </c>
      <c r="L602" s="35"/>
    </row>
    <row r="603" spans="1:12" s="37" customFormat="1" ht="30" x14ac:dyDescent="0.25">
      <c r="A603" s="30">
        <f>IF(F603&lt;&gt;"",1+MAX($A$7:A602),"")</f>
        <v>504</v>
      </c>
      <c r="B603" s="31"/>
      <c r="C603" s="43" t="s">
        <v>308</v>
      </c>
      <c r="D603" s="44">
        <v>1651.7</v>
      </c>
      <c r="E603" s="28">
        <v>0.1</v>
      </c>
      <c r="F603" s="32">
        <f t="shared" si="129"/>
        <v>1816.8700000000001</v>
      </c>
      <c r="G603" s="29" t="s">
        <v>275</v>
      </c>
      <c r="H603" s="29"/>
      <c r="I603" s="29"/>
      <c r="J603" s="33"/>
      <c r="K603" s="34">
        <f t="shared" si="130"/>
        <v>0</v>
      </c>
      <c r="L603" s="35"/>
    </row>
    <row r="604" spans="1:12" s="37" customFormat="1" ht="30" x14ac:dyDescent="0.25">
      <c r="A604" s="30">
        <f>IF(F604&lt;&gt;"",1+MAX($A$7:A603),"")</f>
        <v>505</v>
      </c>
      <c r="B604" s="31"/>
      <c r="C604" s="43" t="s">
        <v>309</v>
      </c>
      <c r="D604" s="44">
        <v>1157.19</v>
      </c>
      <c r="E604" s="28">
        <v>0.1</v>
      </c>
      <c r="F604" s="32">
        <f t="shared" si="129"/>
        <v>1272.9090000000001</v>
      </c>
      <c r="G604" s="29" t="s">
        <v>275</v>
      </c>
      <c r="H604" s="29"/>
      <c r="I604" s="29"/>
      <c r="J604" s="33"/>
      <c r="K604" s="34">
        <f t="shared" si="130"/>
        <v>0</v>
      </c>
      <c r="L604" s="35"/>
    </row>
    <row r="605" spans="1:12" s="37" customFormat="1" ht="30" x14ac:dyDescent="0.25">
      <c r="A605" s="30">
        <f>IF(F605&lt;&gt;"",1+MAX($A$7:A604),"")</f>
        <v>506</v>
      </c>
      <c r="B605" s="31"/>
      <c r="C605" s="43" t="s">
        <v>310</v>
      </c>
      <c r="D605" s="44">
        <v>2512</v>
      </c>
      <c r="E605" s="28">
        <v>0.1</v>
      </c>
      <c r="F605" s="32">
        <f t="shared" si="129"/>
        <v>2763.2000000000003</v>
      </c>
      <c r="G605" s="29" t="s">
        <v>275</v>
      </c>
      <c r="H605" s="29"/>
      <c r="I605" s="29"/>
      <c r="J605" s="33"/>
      <c r="K605" s="34">
        <f t="shared" si="130"/>
        <v>0</v>
      </c>
      <c r="L605" s="35"/>
    </row>
    <row r="606" spans="1:12" s="37" customFormat="1" ht="30" x14ac:dyDescent="0.25">
      <c r="A606" s="30">
        <f>IF(F606&lt;&gt;"",1+MAX($A$7:A605),"")</f>
        <v>507</v>
      </c>
      <c r="B606" s="31"/>
      <c r="C606" s="43" t="s">
        <v>311</v>
      </c>
      <c r="D606" s="44">
        <f>4000+4555.28</f>
        <v>8555.2799999999988</v>
      </c>
      <c r="E606" s="28">
        <v>0.1</v>
      </c>
      <c r="F606" s="32">
        <f t="shared" si="129"/>
        <v>9410.8079999999991</v>
      </c>
      <c r="G606" s="29" t="s">
        <v>275</v>
      </c>
      <c r="H606" s="29"/>
      <c r="I606" s="29"/>
      <c r="J606" s="33"/>
      <c r="K606" s="34">
        <f t="shared" si="130"/>
        <v>0</v>
      </c>
      <c r="L606" s="35"/>
    </row>
    <row r="607" spans="1:12" s="37" customFormat="1" ht="30" x14ac:dyDescent="0.25">
      <c r="A607" s="30">
        <f>IF(F607&lt;&gt;"",1+MAX($A$7:A606),"")</f>
        <v>508</v>
      </c>
      <c r="B607" s="31"/>
      <c r="C607" s="43" t="s">
        <v>313</v>
      </c>
      <c r="D607" s="44">
        <f>7006+780+414.8</f>
        <v>8200.7999999999993</v>
      </c>
      <c r="E607" s="28">
        <v>0.1</v>
      </c>
      <c r="F607" s="32">
        <f t="shared" si="129"/>
        <v>9020.8799999999992</v>
      </c>
      <c r="G607" s="29" t="s">
        <v>275</v>
      </c>
      <c r="H607" s="29"/>
      <c r="I607" s="29"/>
      <c r="J607" s="33"/>
      <c r="K607" s="34">
        <f t="shared" si="130"/>
        <v>0</v>
      </c>
      <c r="L607" s="35"/>
    </row>
    <row r="608" spans="1:12" s="37" customFormat="1" ht="30" x14ac:dyDescent="0.25">
      <c r="A608" s="30">
        <f>IF(F608&lt;&gt;"",1+MAX($A$7:A607),"")</f>
        <v>509</v>
      </c>
      <c r="B608" s="31"/>
      <c r="C608" s="43" t="s">
        <v>314</v>
      </c>
      <c r="D608" s="44">
        <v>464</v>
      </c>
      <c r="E608" s="28">
        <v>0.1</v>
      </c>
      <c r="F608" s="32">
        <f t="shared" si="129"/>
        <v>510.40000000000003</v>
      </c>
      <c r="G608" s="29" t="s">
        <v>275</v>
      </c>
      <c r="H608" s="29"/>
      <c r="I608" s="29"/>
      <c r="J608" s="33"/>
      <c r="K608" s="34">
        <f t="shared" si="130"/>
        <v>0</v>
      </c>
      <c r="L608" s="35"/>
    </row>
    <row r="609" spans="1:12" s="37" customFormat="1" ht="45" x14ac:dyDescent="0.25">
      <c r="A609" s="30">
        <f>IF(F609&lt;&gt;"",1+MAX($A$7:A608),"")</f>
        <v>510</v>
      </c>
      <c r="B609" s="31"/>
      <c r="C609" s="43" t="s">
        <v>315</v>
      </c>
      <c r="D609" s="44">
        <f>26033.41</f>
        <v>26033.41</v>
      </c>
      <c r="E609" s="28">
        <v>0.1</v>
      </c>
      <c r="F609" s="32">
        <f t="shared" si="129"/>
        <v>28636.751000000004</v>
      </c>
      <c r="G609" s="29" t="s">
        <v>275</v>
      </c>
      <c r="H609" s="29"/>
      <c r="I609" s="29"/>
      <c r="J609" s="33"/>
      <c r="K609" s="34">
        <f t="shared" si="130"/>
        <v>0</v>
      </c>
      <c r="L609" s="35"/>
    </row>
    <row r="610" spans="1:12" s="37" customFormat="1" ht="45" x14ac:dyDescent="0.25">
      <c r="A610" s="30">
        <f>IF(F610&lt;&gt;"",1+MAX($A$7:A609),"")</f>
        <v>511</v>
      </c>
      <c r="B610" s="31"/>
      <c r="C610" s="43" t="s">
        <v>316</v>
      </c>
      <c r="D610" s="44">
        <f>1117.18+202.55</f>
        <v>1319.73</v>
      </c>
      <c r="E610" s="28">
        <v>0.1</v>
      </c>
      <c r="F610" s="32">
        <f t="shared" si="129"/>
        <v>1451.7030000000002</v>
      </c>
      <c r="G610" s="29" t="s">
        <v>275</v>
      </c>
      <c r="H610" s="29"/>
      <c r="I610" s="29"/>
      <c r="J610" s="33"/>
      <c r="K610" s="34">
        <f t="shared" si="130"/>
        <v>0</v>
      </c>
      <c r="L610" s="35"/>
    </row>
    <row r="611" spans="1:12" s="37" customFormat="1" ht="30" x14ac:dyDescent="0.25">
      <c r="A611" s="30">
        <f>IF(F611&lt;&gt;"",1+MAX($A$7:A610),"")</f>
        <v>512</v>
      </c>
      <c r="B611" s="31"/>
      <c r="C611" s="43" t="s">
        <v>318</v>
      </c>
      <c r="D611" s="44">
        <f>273+606</f>
        <v>879</v>
      </c>
      <c r="E611" s="28">
        <v>0.1</v>
      </c>
      <c r="F611" s="32">
        <f t="shared" si="129"/>
        <v>966.90000000000009</v>
      </c>
      <c r="G611" s="29" t="s">
        <v>275</v>
      </c>
      <c r="H611" s="29"/>
      <c r="I611" s="29"/>
      <c r="J611" s="33"/>
      <c r="K611" s="34">
        <f t="shared" si="130"/>
        <v>0</v>
      </c>
      <c r="L611" s="35"/>
    </row>
    <row r="612" spans="1:12" s="37" customFormat="1" x14ac:dyDescent="0.25">
      <c r="A612" s="30">
        <f>IF(F612&lt;&gt;"",1+MAX($A$7:A611),"")</f>
        <v>513</v>
      </c>
      <c r="B612" s="31"/>
      <c r="C612" s="43" t="s">
        <v>317</v>
      </c>
      <c r="D612" s="44">
        <v>471</v>
      </c>
      <c r="E612" s="28">
        <v>0.1</v>
      </c>
      <c r="F612" s="32">
        <f t="shared" si="129"/>
        <v>518.1</v>
      </c>
      <c r="G612" s="29" t="s">
        <v>275</v>
      </c>
      <c r="H612" s="29"/>
      <c r="I612" s="29"/>
      <c r="J612" s="33"/>
      <c r="K612" s="34">
        <f t="shared" si="130"/>
        <v>0</v>
      </c>
      <c r="L612" s="35"/>
    </row>
    <row r="613" spans="1:12" s="37" customFormat="1" x14ac:dyDescent="0.25">
      <c r="A613" s="30" t="str">
        <f>IF(F613&lt;&gt;"",1+MAX($A$7:A612),"")</f>
        <v/>
      </c>
      <c r="B613" s="31"/>
      <c r="C613" s="49"/>
      <c r="D613" s="44"/>
      <c r="E613" s="28"/>
      <c r="F613" s="32"/>
      <c r="G613" s="29"/>
      <c r="H613" s="29"/>
      <c r="I613" s="29"/>
      <c r="J613" s="33"/>
      <c r="K613" s="34"/>
      <c r="L613" s="35"/>
    </row>
    <row r="614" spans="1:12" s="37" customFormat="1" x14ac:dyDescent="0.25">
      <c r="A614" s="30" t="str">
        <f>IF(F614&lt;&gt;"",1+MAX($A$7:A613),"")</f>
        <v/>
      </c>
      <c r="B614" s="31"/>
      <c r="C614" s="49" t="s">
        <v>300</v>
      </c>
      <c r="D614" s="44"/>
      <c r="E614" s="28"/>
      <c r="F614" s="32"/>
      <c r="G614" s="29"/>
      <c r="H614" s="29"/>
      <c r="I614" s="29"/>
      <c r="J614" s="33"/>
      <c r="K614" s="34"/>
      <c r="L614" s="35"/>
    </row>
    <row r="615" spans="1:12" s="37" customFormat="1" x14ac:dyDescent="0.25">
      <c r="A615" s="30">
        <f>IF(F615&lt;&gt;"",1+MAX($A$7:A614),"")</f>
        <v>514</v>
      </c>
      <c r="B615" s="31"/>
      <c r="C615" s="43" t="s">
        <v>357</v>
      </c>
      <c r="D615" s="44">
        <f>919+187.4+847.32+534+97+2501+44.38+149+497.12+53+445.43+35245.2</f>
        <v>41519.85</v>
      </c>
      <c r="E615" s="28">
        <v>0.1</v>
      </c>
      <c r="F615" s="32">
        <f t="shared" ref="F615:F623" si="131">D615*(1+E615)</f>
        <v>45671.834999999999</v>
      </c>
      <c r="G615" s="29" t="s">
        <v>275</v>
      </c>
      <c r="H615" s="29"/>
      <c r="I615" s="29"/>
      <c r="J615" s="33"/>
      <c r="K615" s="34">
        <f t="shared" ref="K615:K623" si="132">J615*F615</f>
        <v>0</v>
      </c>
      <c r="L615" s="35"/>
    </row>
    <row r="616" spans="1:12" s="37" customFormat="1" ht="30" x14ac:dyDescent="0.25">
      <c r="A616" s="30">
        <f>IF(F616&lt;&gt;"",1+MAX($A$7:A615),"")</f>
        <v>515</v>
      </c>
      <c r="B616" s="31"/>
      <c r="C616" s="43" t="s">
        <v>344</v>
      </c>
      <c r="D616" s="44">
        <v>86.23</v>
      </c>
      <c r="E616" s="28">
        <v>0.1</v>
      </c>
      <c r="F616" s="32">
        <f t="shared" si="131"/>
        <v>94.853000000000009</v>
      </c>
      <c r="G616" s="29" t="s">
        <v>275</v>
      </c>
      <c r="H616" s="29"/>
      <c r="I616" s="29"/>
      <c r="J616" s="33"/>
      <c r="K616" s="34">
        <f t="shared" si="132"/>
        <v>0</v>
      </c>
      <c r="L616" s="35"/>
    </row>
    <row r="617" spans="1:12" s="37" customFormat="1" ht="30" x14ac:dyDescent="0.25">
      <c r="A617" s="30">
        <f>IF(F617&lt;&gt;"",1+MAX($A$7:A616),"")</f>
        <v>516</v>
      </c>
      <c r="B617" s="31"/>
      <c r="C617" s="43" t="s">
        <v>345</v>
      </c>
      <c r="D617" s="44">
        <f>1563+204+1853.72</f>
        <v>3620.7200000000003</v>
      </c>
      <c r="E617" s="28">
        <v>0.1</v>
      </c>
      <c r="F617" s="32">
        <f t="shared" si="131"/>
        <v>3982.7920000000008</v>
      </c>
      <c r="G617" s="29" t="s">
        <v>275</v>
      </c>
      <c r="H617" s="29"/>
      <c r="I617" s="29"/>
      <c r="J617" s="33"/>
      <c r="K617" s="34">
        <f t="shared" si="132"/>
        <v>0</v>
      </c>
      <c r="L617" s="35"/>
    </row>
    <row r="618" spans="1:12" s="37" customFormat="1" ht="30" x14ac:dyDescent="0.25">
      <c r="A618" s="30">
        <f>IF(F618&lt;&gt;"",1+MAX($A$7:A617),"")</f>
        <v>517</v>
      </c>
      <c r="B618" s="31"/>
      <c r="C618" s="43" t="s">
        <v>346</v>
      </c>
      <c r="D618" s="44">
        <f>1163+306.56+1160.33</f>
        <v>2629.89</v>
      </c>
      <c r="E618" s="28">
        <v>0.1</v>
      </c>
      <c r="F618" s="32">
        <f t="shared" si="131"/>
        <v>2892.8789999999999</v>
      </c>
      <c r="G618" s="29" t="s">
        <v>275</v>
      </c>
      <c r="H618" s="29"/>
      <c r="I618" s="29"/>
      <c r="J618" s="33"/>
      <c r="K618" s="34">
        <f t="shared" si="132"/>
        <v>0</v>
      </c>
      <c r="L618" s="35"/>
    </row>
    <row r="619" spans="1:12" s="37" customFormat="1" x14ac:dyDescent="0.25">
      <c r="A619" s="30">
        <f>IF(F619&lt;&gt;"",1+MAX($A$7:A618),"")</f>
        <v>518</v>
      </c>
      <c r="B619" s="31"/>
      <c r="C619" s="43" t="s">
        <v>347</v>
      </c>
      <c r="D619" s="44">
        <f>2319+298.94</f>
        <v>2617.94</v>
      </c>
      <c r="E619" s="28">
        <v>0.1</v>
      </c>
      <c r="F619" s="32">
        <f t="shared" si="131"/>
        <v>2879.7340000000004</v>
      </c>
      <c r="G619" s="29" t="s">
        <v>275</v>
      </c>
      <c r="H619" s="29"/>
      <c r="I619" s="29"/>
      <c r="J619" s="33"/>
      <c r="K619" s="34">
        <f t="shared" si="132"/>
        <v>0</v>
      </c>
      <c r="L619" s="35"/>
    </row>
    <row r="620" spans="1:12" s="37" customFormat="1" x14ac:dyDescent="0.25">
      <c r="A620" s="30">
        <f>IF(F620&lt;&gt;"",1+MAX($A$7:A619),"")</f>
        <v>519</v>
      </c>
      <c r="B620" s="31"/>
      <c r="C620" s="43" t="s">
        <v>348</v>
      </c>
      <c r="D620" s="44">
        <f>638.17+780+2361.81</f>
        <v>3779.98</v>
      </c>
      <c r="E620" s="28">
        <v>0.1</v>
      </c>
      <c r="F620" s="32">
        <f t="shared" si="131"/>
        <v>4157.9780000000001</v>
      </c>
      <c r="G620" s="29" t="s">
        <v>275</v>
      </c>
      <c r="H620" s="29"/>
      <c r="I620" s="29"/>
      <c r="J620" s="33"/>
      <c r="K620" s="34">
        <f t="shared" si="132"/>
        <v>0</v>
      </c>
      <c r="L620" s="35"/>
    </row>
    <row r="621" spans="1:12" s="37" customFormat="1" ht="45" x14ac:dyDescent="0.25">
      <c r="A621" s="30">
        <f>IF(F621&lt;&gt;"",1+MAX($A$7:A620),"")</f>
        <v>520</v>
      </c>
      <c r="B621" s="31"/>
      <c r="C621" s="43" t="s">
        <v>349</v>
      </c>
      <c r="D621" s="44">
        <v>1592.27</v>
      </c>
      <c r="E621" s="28">
        <v>0.1</v>
      </c>
      <c r="F621" s="32">
        <f t="shared" si="131"/>
        <v>1751.4970000000001</v>
      </c>
      <c r="G621" s="29" t="s">
        <v>275</v>
      </c>
      <c r="H621" s="29"/>
      <c r="I621" s="29"/>
      <c r="J621" s="33"/>
      <c r="K621" s="34">
        <f t="shared" si="132"/>
        <v>0</v>
      </c>
      <c r="L621" s="35"/>
    </row>
    <row r="622" spans="1:12" s="37" customFormat="1" ht="30" x14ac:dyDescent="0.25">
      <c r="A622" s="30">
        <f>IF(F622&lt;&gt;"",1+MAX($A$7:A621),"")</f>
        <v>521</v>
      </c>
      <c r="B622" s="31"/>
      <c r="C622" s="43" t="s">
        <v>350</v>
      </c>
      <c r="D622" s="46">
        <f>4418.3+99.84</f>
        <v>4518.1400000000003</v>
      </c>
      <c r="E622" s="28">
        <v>0.1</v>
      </c>
      <c r="F622" s="32">
        <f t="shared" si="131"/>
        <v>4969.9540000000006</v>
      </c>
      <c r="G622" s="29" t="s">
        <v>275</v>
      </c>
      <c r="H622" s="29"/>
      <c r="I622" s="29"/>
      <c r="J622" s="33"/>
      <c r="K622" s="34">
        <f t="shared" si="132"/>
        <v>0</v>
      </c>
      <c r="L622" s="35"/>
    </row>
    <row r="623" spans="1:12" s="37" customFormat="1" x14ac:dyDescent="0.25">
      <c r="A623" s="30">
        <f>IF(F623&lt;&gt;"",1+MAX($A$7:A622),"")</f>
        <v>522</v>
      </c>
      <c r="B623" s="31"/>
      <c r="C623" s="37" t="s">
        <v>351</v>
      </c>
      <c r="D623" s="46">
        <f>1467.45+64*4+1899.08+60</f>
        <v>3682.5299999999997</v>
      </c>
      <c r="E623" s="28">
        <v>0.1</v>
      </c>
      <c r="F623" s="32">
        <f t="shared" si="131"/>
        <v>4050.7829999999999</v>
      </c>
      <c r="G623" s="29" t="s">
        <v>275</v>
      </c>
      <c r="H623" s="29"/>
      <c r="I623" s="29"/>
      <c r="J623" s="33"/>
      <c r="K623" s="34">
        <f t="shared" si="132"/>
        <v>0</v>
      </c>
      <c r="L623" s="35"/>
    </row>
    <row r="624" spans="1:12" s="37" customFormat="1" x14ac:dyDescent="0.25">
      <c r="A624" s="30" t="str">
        <f>IF(F624&lt;&gt;"",1+MAX($A$7:A623),"")</f>
        <v/>
      </c>
      <c r="B624" s="31"/>
      <c r="C624" s="49"/>
      <c r="D624" s="44"/>
      <c r="E624" s="28"/>
      <c r="F624" s="32"/>
      <c r="G624" s="29"/>
      <c r="H624" s="29"/>
      <c r="I624" s="29"/>
      <c r="J624" s="33"/>
      <c r="K624" s="34"/>
      <c r="L624" s="35"/>
    </row>
    <row r="625" spans="1:12" s="37" customFormat="1" x14ac:dyDescent="0.25">
      <c r="A625" s="30" t="str">
        <f>IF(F625&lt;&gt;"",1+MAX($A$7:A624),"")</f>
        <v/>
      </c>
      <c r="B625" s="31"/>
      <c r="C625" s="49" t="s">
        <v>228</v>
      </c>
      <c r="D625" s="44"/>
      <c r="E625" s="28"/>
      <c r="F625" s="32"/>
      <c r="G625" s="29"/>
      <c r="H625" s="29"/>
      <c r="I625" s="29"/>
      <c r="J625" s="33"/>
      <c r="K625" s="34"/>
      <c r="L625" s="35"/>
    </row>
    <row r="626" spans="1:12" s="37" customFormat="1" ht="30" x14ac:dyDescent="0.25">
      <c r="A626" s="30">
        <f>IF(F626&lt;&gt;"",1+MAX($A$7:A625),"")</f>
        <v>523</v>
      </c>
      <c r="B626" s="31"/>
      <c r="C626" s="43" t="s">
        <v>882</v>
      </c>
      <c r="D626" s="44">
        <v>195</v>
      </c>
      <c r="E626" s="28">
        <v>0.1</v>
      </c>
      <c r="F626" s="32">
        <f t="shared" ref="F626" si="133">D626*(1+E626)</f>
        <v>214.50000000000003</v>
      </c>
      <c r="G626" s="29" t="s">
        <v>65</v>
      </c>
      <c r="H626" s="29"/>
      <c r="I626" s="29"/>
      <c r="J626" s="33"/>
      <c r="K626" s="34">
        <f t="shared" ref="K626" si="134">J626*F626</f>
        <v>0</v>
      </c>
      <c r="L626" s="35"/>
    </row>
    <row r="627" spans="1:12" s="37" customFormat="1" x14ac:dyDescent="0.25">
      <c r="A627" s="30">
        <f>IF(F627&lt;&gt;"",1+MAX($A$7:A626),"")</f>
        <v>524</v>
      </c>
      <c r="B627" s="31"/>
      <c r="C627" s="37" t="s">
        <v>358</v>
      </c>
      <c r="D627" s="46">
        <f>154+25+35</f>
        <v>214</v>
      </c>
      <c r="E627" s="28">
        <v>0.1</v>
      </c>
      <c r="F627" s="32">
        <f t="shared" ref="F627:F636" si="135">D627*(1+E627)</f>
        <v>235.4</v>
      </c>
      <c r="G627" s="29" t="s">
        <v>65</v>
      </c>
      <c r="H627" s="29"/>
      <c r="I627" s="29"/>
      <c r="J627" s="33"/>
      <c r="K627" s="34">
        <f t="shared" ref="K627:K636" si="136">J627*F627</f>
        <v>0</v>
      </c>
      <c r="L627" s="35"/>
    </row>
    <row r="628" spans="1:12" s="37" customFormat="1" ht="60" x14ac:dyDescent="0.25">
      <c r="A628" s="30">
        <f>IF(F628&lt;&gt;"",1+MAX($A$7:A627),"")</f>
        <v>525</v>
      </c>
      <c r="B628" s="31"/>
      <c r="C628" s="50" t="s">
        <v>359</v>
      </c>
      <c r="D628" s="46">
        <v>182.43950000000001</v>
      </c>
      <c r="E628" s="28">
        <v>0.1</v>
      </c>
      <c r="F628" s="32">
        <f t="shared" si="135"/>
        <v>200.68345000000002</v>
      </c>
      <c r="G628" s="29" t="s">
        <v>65</v>
      </c>
      <c r="H628" s="29"/>
      <c r="I628" s="29"/>
      <c r="J628" s="33"/>
      <c r="K628" s="34">
        <f t="shared" si="136"/>
        <v>0</v>
      </c>
      <c r="L628" s="35"/>
    </row>
    <row r="629" spans="1:12" s="37" customFormat="1" ht="75" x14ac:dyDescent="0.25">
      <c r="A629" s="30">
        <f>IF(F629&lt;&gt;"",1+MAX($A$7:A628),"")</f>
        <v>526</v>
      </c>
      <c r="B629" s="31"/>
      <c r="C629" s="50" t="s">
        <v>360</v>
      </c>
      <c r="D629" s="46">
        <v>80.319999999999993</v>
      </c>
      <c r="E629" s="28">
        <v>0.1</v>
      </c>
      <c r="F629" s="32">
        <f t="shared" si="135"/>
        <v>88.352000000000004</v>
      </c>
      <c r="G629" s="29" t="s">
        <v>65</v>
      </c>
      <c r="H629" s="29"/>
      <c r="I629" s="29"/>
      <c r="J629" s="33"/>
      <c r="K629" s="34">
        <f t="shared" si="136"/>
        <v>0</v>
      </c>
      <c r="L629" s="35"/>
    </row>
    <row r="630" spans="1:12" s="37" customFormat="1" ht="60" x14ac:dyDescent="0.25">
      <c r="A630" s="30">
        <f>IF(F630&lt;&gt;"",1+MAX($A$7:A629),"")</f>
        <v>527</v>
      </c>
      <c r="B630" s="31"/>
      <c r="C630" s="50" t="s">
        <v>361</v>
      </c>
      <c r="D630" s="46">
        <v>29.262899999999998</v>
      </c>
      <c r="E630" s="28">
        <v>0.1</v>
      </c>
      <c r="F630" s="32">
        <f t="shared" si="135"/>
        <v>32.189190000000004</v>
      </c>
      <c r="G630" s="29" t="s">
        <v>65</v>
      </c>
      <c r="H630" s="29"/>
      <c r="I630" s="29"/>
      <c r="J630" s="33"/>
      <c r="K630" s="34">
        <f t="shared" si="136"/>
        <v>0</v>
      </c>
      <c r="L630" s="35"/>
    </row>
    <row r="631" spans="1:12" s="37" customFormat="1" x14ac:dyDescent="0.25">
      <c r="A631" s="30">
        <f>IF(F631&lt;&gt;"",1+MAX($A$7:A630),"")</f>
        <v>528</v>
      </c>
      <c r="B631" s="31"/>
      <c r="C631" s="50" t="s">
        <v>618</v>
      </c>
      <c r="D631" s="46">
        <f>600+42.084+221.126+250</f>
        <v>1113.21</v>
      </c>
      <c r="E631" s="28">
        <v>0.1</v>
      </c>
      <c r="F631" s="32">
        <f t="shared" ref="F631:F632" si="137">D631*(1+E631)</f>
        <v>1224.5310000000002</v>
      </c>
      <c r="G631" s="29" t="s">
        <v>65</v>
      </c>
      <c r="H631" s="29"/>
      <c r="I631" s="29"/>
      <c r="J631" s="33"/>
      <c r="K631" s="34">
        <f t="shared" ref="K631:K632" si="138">J631*F631</f>
        <v>0</v>
      </c>
      <c r="L631" s="35"/>
    </row>
    <row r="632" spans="1:12" s="37" customFormat="1" x14ac:dyDescent="0.25">
      <c r="A632" s="30">
        <f>IF(F632&lt;&gt;"",1+MAX($A$7:A631),"")</f>
        <v>529</v>
      </c>
      <c r="B632" s="31"/>
      <c r="C632" s="50" t="s">
        <v>619</v>
      </c>
      <c r="D632" s="46">
        <f>142.57+42.08+494+221.12</f>
        <v>899.77</v>
      </c>
      <c r="E632" s="28">
        <v>0.1</v>
      </c>
      <c r="F632" s="32">
        <f t="shared" si="137"/>
        <v>989.74700000000007</v>
      </c>
      <c r="G632" s="29" t="s">
        <v>65</v>
      </c>
      <c r="H632" s="29"/>
      <c r="I632" s="29"/>
      <c r="J632" s="33"/>
      <c r="K632" s="34">
        <f t="shared" si="138"/>
        <v>0</v>
      </c>
      <c r="L632" s="35"/>
    </row>
    <row r="633" spans="1:12" s="37" customFormat="1" x14ac:dyDescent="0.25">
      <c r="A633" s="30">
        <f>IF(F633&lt;&gt;"",1+MAX($A$7:A632),"")</f>
        <v>530</v>
      </c>
      <c r="B633" s="31"/>
      <c r="C633" s="43" t="s">
        <v>362</v>
      </c>
      <c r="D633" s="44">
        <v>335</v>
      </c>
      <c r="E633" s="28">
        <v>0.1</v>
      </c>
      <c r="F633" s="32">
        <f t="shared" si="135"/>
        <v>368.50000000000006</v>
      </c>
      <c r="G633" s="29" t="s">
        <v>65</v>
      </c>
      <c r="H633" s="29"/>
      <c r="I633" s="29"/>
      <c r="J633" s="33"/>
      <c r="K633" s="34">
        <f t="shared" si="136"/>
        <v>0</v>
      </c>
      <c r="L633" s="35"/>
    </row>
    <row r="634" spans="1:12" s="37" customFormat="1" x14ac:dyDescent="0.25">
      <c r="A634" s="30">
        <f>IF(F634&lt;&gt;"",1+MAX($A$7:A633),"")</f>
        <v>531</v>
      </c>
      <c r="B634" s="31"/>
      <c r="C634" s="43" t="s">
        <v>363</v>
      </c>
      <c r="D634" s="44">
        <v>170</v>
      </c>
      <c r="E634" s="28">
        <v>0.1</v>
      </c>
      <c r="F634" s="32">
        <f t="shared" si="135"/>
        <v>187.00000000000003</v>
      </c>
      <c r="G634" s="29" t="s">
        <v>65</v>
      </c>
      <c r="H634" s="29"/>
      <c r="I634" s="29"/>
      <c r="J634" s="33"/>
      <c r="K634" s="34">
        <f t="shared" si="136"/>
        <v>0</v>
      </c>
      <c r="L634" s="35"/>
    </row>
    <row r="635" spans="1:12" s="37" customFormat="1" x14ac:dyDescent="0.25">
      <c r="A635" s="30">
        <f>IF(F635&lt;&gt;"",1+MAX($A$7:A634),"")</f>
        <v>532</v>
      </c>
      <c r="B635" s="31"/>
      <c r="C635" s="43" t="s">
        <v>365</v>
      </c>
      <c r="D635" s="44">
        <f>400+118*2</f>
        <v>636</v>
      </c>
      <c r="E635" s="28">
        <v>0.1</v>
      </c>
      <c r="F635" s="32">
        <f t="shared" si="135"/>
        <v>699.6</v>
      </c>
      <c r="G635" s="29" t="s">
        <v>65</v>
      </c>
      <c r="H635" s="29"/>
      <c r="I635" s="29"/>
      <c r="J635" s="33"/>
      <c r="K635" s="34">
        <f t="shared" si="136"/>
        <v>0</v>
      </c>
      <c r="L635" s="35"/>
    </row>
    <row r="636" spans="1:12" s="37" customFormat="1" x14ac:dyDescent="0.25">
      <c r="A636" s="30">
        <f>IF(F636&lt;&gt;"",1+MAX($A$7:A635),"")</f>
        <v>533</v>
      </c>
      <c r="B636" s="31"/>
      <c r="C636" s="43" t="s">
        <v>364</v>
      </c>
      <c r="D636" s="44">
        <v>16</v>
      </c>
      <c r="E636" s="28">
        <v>0</v>
      </c>
      <c r="F636" s="32">
        <f t="shared" si="135"/>
        <v>16</v>
      </c>
      <c r="G636" s="29" t="s">
        <v>66</v>
      </c>
      <c r="H636" s="29"/>
      <c r="I636" s="29"/>
      <c r="J636" s="33"/>
      <c r="K636" s="34">
        <f t="shared" si="136"/>
        <v>0</v>
      </c>
      <c r="L636" s="35"/>
    </row>
    <row r="637" spans="1:12" s="37" customFormat="1" ht="15.75" thickBot="1" x14ac:dyDescent="0.3">
      <c r="A637" s="30" t="str">
        <f>IF(F637&lt;&gt;"",1+MAX($A$7:A636),"")</f>
        <v/>
      </c>
      <c r="B637" s="31"/>
      <c r="C637" s="43"/>
      <c r="D637" s="44"/>
      <c r="E637" s="28"/>
      <c r="F637" s="32"/>
      <c r="G637" s="29"/>
      <c r="H637" s="29"/>
      <c r="I637" s="29"/>
      <c r="J637" s="33"/>
      <c r="K637" s="34"/>
      <c r="L637" s="35"/>
    </row>
    <row r="638" spans="1:12" ht="15.75" thickBot="1" x14ac:dyDescent="0.3">
      <c r="A638" s="99" t="str">
        <f>IF(F638&lt;&gt;"",1+MAX($A$7:A637),"")</f>
        <v/>
      </c>
      <c r="B638" s="7" t="s">
        <v>52</v>
      </c>
      <c r="C638" s="48" t="s">
        <v>55</v>
      </c>
      <c r="D638" s="102"/>
      <c r="E638" s="8"/>
      <c r="F638" s="8"/>
      <c r="G638" s="7"/>
      <c r="H638" s="7"/>
      <c r="I638" s="7"/>
      <c r="J638" s="25"/>
      <c r="K638" s="21"/>
      <c r="L638" s="9">
        <f>SUM(K639:K642)</f>
        <v>0</v>
      </c>
    </row>
    <row r="639" spans="1:12" s="37" customFormat="1" x14ac:dyDescent="0.25">
      <c r="A639" s="30" t="str">
        <f>IF(F639&lt;&gt;"",1+MAX($A$7:A638),"")</f>
        <v/>
      </c>
      <c r="B639" s="31"/>
      <c r="C639" s="43"/>
      <c r="D639" s="44"/>
      <c r="E639" s="28"/>
      <c r="F639" s="32"/>
      <c r="G639" s="29"/>
      <c r="H639" s="29"/>
      <c r="I639" s="29"/>
      <c r="J639" s="33"/>
      <c r="K639" s="34"/>
      <c r="L639" s="35"/>
    </row>
    <row r="640" spans="1:12" s="37" customFormat="1" x14ac:dyDescent="0.25">
      <c r="A640" s="30" t="str">
        <f>IF(F640&lt;&gt;"",1+MAX($A$7:A639),"")</f>
        <v/>
      </c>
      <c r="B640" s="31"/>
      <c r="C640" s="49" t="s">
        <v>250</v>
      </c>
      <c r="D640" s="44"/>
      <c r="E640" s="28"/>
      <c r="F640" s="32"/>
      <c r="G640" s="29"/>
      <c r="H640" s="29"/>
      <c r="I640" s="29"/>
      <c r="J640" s="33"/>
      <c r="K640" s="34"/>
      <c r="L640" s="35"/>
    </row>
    <row r="641" spans="1:12" s="37" customFormat="1" x14ac:dyDescent="0.25">
      <c r="A641" s="30">
        <f>IF(F641&lt;&gt;"",1+MAX($A$7:A640),"")</f>
        <v>534</v>
      </c>
      <c r="B641" s="31"/>
      <c r="C641" s="50" t="s">
        <v>251</v>
      </c>
      <c r="D641" s="44">
        <v>1</v>
      </c>
      <c r="E641" s="28">
        <v>0</v>
      </c>
      <c r="F641" s="32">
        <f t="shared" ref="F641" si="139">D641*(1+E641)</f>
        <v>1</v>
      </c>
      <c r="G641" s="29" t="s">
        <v>66</v>
      </c>
      <c r="H641" s="29"/>
      <c r="I641" s="29"/>
      <c r="J641" s="33"/>
      <c r="K641" s="34">
        <f t="shared" ref="K641" si="140">J641*F641</f>
        <v>0</v>
      </c>
      <c r="L641" s="35"/>
    </row>
    <row r="642" spans="1:12" s="37" customFormat="1" ht="15.75" thickBot="1" x14ac:dyDescent="0.3">
      <c r="A642" s="30" t="str">
        <f>IF(F642&lt;&gt;"",1+MAX($A$7:A641),"")</f>
        <v/>
      </c>
      <c r="B642" s="31"/>
      <c r="C642" s="50"/>
      <c r="D642" s="44"/>
      <c r="E642" s="28"/>
      <c r="F642" s="32"/>
      <c r="G642" s="29"/>
      <c r="H642" s="29"/>
      <c r="I642" s="29"/>
      <c r="J642" s="33"/>
      <c r="K642" s="34"/>
      <c r="L642" s="35"/>
    </row>
    <row r="643" spans="1:12" ht="15.75" thickBot="1" x14ac:dyDescent="0.3">
      <c r="A643" s="99" t="str">
        <f>IF(F643&lt;&gt;"",1+MAX($A$7:A642),"")</f>
        <v/>
      </c>
      <c r="B643" s="7" t="s">
        <v>53</v>
      </c>
      <c r="C643" s="48" t="s">
        <v>54</v>
      </c>
      <c r="D643" s="102"/>
      <c r="E643" s="8"/>
      <c r="F643" s="8"/>
      <c r="G643" s="7"/>
      <c r="H643" s="7"/>
      <c r="I643" s="7"/>
      <c r="J643" s="25"/>
      <c r="K643" s="21"/>
      <c r="L643" s="9">
        <f>SUM(K644:K648)</f>
        <v>0</v>
      </c>
    </row>
    <row r="644" spans="1:12" s="37" customFormat="1" x14ac:dyDescent="0.25">
      <c r="A644" s="30" t="str">
        <f>IF(F644&lt;&gt;"",1+MAX($A$7:A643),"")</f>
        <v/>
      </c>
      <c r="B644" s="31"/>
      <c r="C644" s="43"/>
      <c r="D644" s="44"/>
      <c r="E644" s="28"/>
      <c r="F644" s="32"/>
      <c r="G644" s="29"/>
      <c r="H644" s="29"/>
      <c r="I644" s="29"/>
      <c r="J644" s="33"/>
      <c r="K644" s="34"/>
      <c r="L644" s="35"/>
    </row>
    <row r="645" spans="1:12" s="37" customFormat="1" x14ac:dyDescent="0.25">
      <c r="A645" s="30" t="str">
        <f>IF(F645&lt;&gt;"",1+MAX($A$7:A644),"")</f>
        <v/>
      </c>
      <c r="B645" s="31"/>
      <c r="C645" s="49" t="s">
        <v>302</v>
      </c>
      <c r="D645" s="44"/>
      <c r="E645" s="28"/>
      <c r="F645" s="32"/>
      <c r="G645" s="29"/>
      <c r="H645" s="29"/>
      <c r="I645" s="29"/>
      <c r="J645" s="33"/>
      <c r="K645" s="34"/>
      <c r="L645" s="35"/>
    </row>
    <row r="646" spans="1:12" s="37" customFormat="1" x14ac:dyDescent="0.25">
      <c r="A646" s="30">
        <f>IF(F646&lt;&gt;"",1+MAX($A$7:A645),"")</f>
        <v>535</v>
      </c>
      <c r="B646" s="31"/>
      <c r="C646" s="49" t="s">
        <v>352</v>
      </c>
      <c r="D646" s="46">
        <v>193.31</v>
      </c>
      <c r="E646" s="28">
        <v>0.1</v>
      </c>
      <c r="F646" s="32">
        <f t="shared" ref="F646" si="141">D646*(1+E646)</f>
        <v>212.64100000000002</v>
      </c>
      <c r="G646" s="29" t="s">
        <v>275</v>
      </c>
      <c r="H646" s="29"/>
      <c r="I646" s="29"/>
      <c r="J646" s="33"/>
      <c r="K646" s="34">
        <f t="shared" ref="K646" si="142">J646*F646</f>
        <v>0</v>
      </c>
      <c r="L646" s="35"/>
    </row>
    <row r="647" spans="1:12" s="37" customFormat="1" x14ac:dyDescent="0.25">
      <c r="A647" s="30">
        <f>IF(F647&lt;&gt;"",1+MAX($A$7:A646),"")</f>
        <v>536</v>
      </c>
      <c r="B647" s="31"/>
      <c r="C647" s="43" t="s">
        <v>353</v>
      </c>
      <c r="D647" s="46">
        <v>56</v>
      </c>
      <c r="E647" s="28">
        <v>0.1</v>
      </c>
      <c r="F647" s="32">
        <f t="shared" ref="F647" si="143">D647*(1+E647)</f>
        <v>61.600000000000009</v>
      </c>
      <c r="G647" s="29" t="s">
        <v>275</v>
      </c>
      <c r="H647" s="29"/>
      <c r="I647" s="29"/>
      <c r="J647" s="33"/>
      <c r="K647" s="34">
        <f t="shared" ref="K647" si="144">J647*F647</f>
        <v>0</v>
      </c>
      <c r="L647" s="35"/>
    </row>
    <row r="648" spans="1:12" s="37" customFormat="1" ht="15.75" thickBot="1" x14ac:dyDescent="0.3">
      <c r="A648" s="30" t="str">
        <f>IF(F648&lt;&gt;"",1+MAX($A$7:A647),"")</f>
        <v/>
      </c>
      <c r="B648" s="31"/>
      <c r="C648" s="43"/>
      <c r="D648" s="44"/>
      <c r="E648" s="28"/>
      <c r="F648" s="32"/>
      <c r="G648" s="29"/>
      <c r="H648" s="29"/>
      <c r="I648" s="29"/>
      <c r="J648" s="33"/>
      <c r="K648" s="34"/>
      <c r="L648" s="35"/>
    </row>
    <row r="649" spans="1:12" ht="15.75" thickBot="1" x14ac:dyDescent="0.3">
      <c r="A649" s="99" t="str">
        <f>IF(F649&lt;&gt;"",1+MAX($A$7:A648),"")</f>
        <v/>
      </c>
      <c r="B649" s="7" t="s">
        <v>56</v>
      </c>
      <c r="C649" s="48" t="s">
        <v>37</v>
      </c>
      <c r="D649" s="102"/>
      <c r="E649" s="8"/>
      <c r="F649" s="8"/>
      <c r="G649" s="7"/>
      <c r="H649" s="7"/>
      <c r="I649" s="7"/>
      <c r="J649" s="25"/>
      <c r="K649" s="21"/>
      <c r="L649" s="9">
        <f>SUM(K650:K738)</f>
        <v>0</v>
      </c>
    </row>
    <row r="650" spans="1:12" s="37" customFormat="1" x14ac:dyDescent="0.25">
      <c r="A650" s="30" t="str">
        <f>IF(F650&lt;&gt;"",1+MAX($A$7:A649),"")</f>
        <v/>
      </c>
      <c r="B650" s="31"/>
      <c r="C650" s="50"/>
      <c r="D650" s="46"/>
      <c r="E650" s="28"/>
      <c r="F650" s="32"/>
      <c r="G650" s="29"/>
      <c r="H650" s="29"/>
      <c r="I650" s="29"/>
      <c r="J650" s="33"/>
      <c r="K650" s="34"/>
      <c r="L650" s="35"/>
    </row>
    <row r="651" spans="1:12" s="37" customFormat="1" x14ac:dyDescent="0.25">
      <c r="A651" s="30" t="str">
        <f>IF(F651&lt;&gt;"",1+MAX($A$7:A650),"")</f>
        <v/>
      </c>
      <c r="B651" s="31"/>
      <c r="C651" s="45" t="s">
        <v>74</v>
      </c>
      <c r="D651" s="46"/>
      <c r="E651" s="28"/>
      <c r="F651" s="32"/>
      <c r="G651" s="29"/>
      <c r="H651" s="29"/>
      <c r="I651" s="29"/>
      <c r="J651" s="33"/>
      <c r="K651" s="34"/>
      <c r="L651" s="35"/>
    </row>
    <row r="652" spans="1:12" s="37" customFormat="1" x14ac:dyDescent="0.25">
      <c r="A652" s="30">
        <f>IF(F652&lt;&gt;"",1+MAX($A$7:A651),"")</f>
        <v>537</v>
      </c>
      <c r="B652" s="31"/>
      <c r="C652" s="50" t="s">
        <v>104</v>
      </c>
      <c r="D652" s="46">
        <f>21.1+47.8</f>
        <v>68.900000000000006</v>
      </c>
      <c r="E652" s="28">
        <v>0.1</v>
      </c>
      <c r="F652" s="32">
        <f>D652*(1+E652)</f>
        <v>75.790000000000006</v>
      </c>
      <c r="G652" s="29" t="s">
        <v>65</v>
      </c>
      <c r="H652" s="29"/>
      <c r="I652" s="29"/>
      <c r="J652" s="33"/>
      <c r="K652" s="34">
        <f>J652*F652</f>
        <v>0</v>
      </c>
      <c r="L652" s="35"/>
    </row>
    <row r="653" spans="1:12" s="37" customFormat="1" x14ac:dyDescent="0.25">
      <c r="A653" s="30">
        <f>IF(F653&lt;&gt;"",1+MAX($A$7:A652),"")</f>
        <v>538</v>
      </c>
      <c r="B653" s="31"/>
      <c r="C653" s="50" t="s">
        <v>105</v>
      </c>
      <c r="D653" s="46">
        <v>720</v>
      </c>
      <c r="E653" s="28">
        <v>0.1</v>
      </c>
      <c r="F653" s="32">
        <f t="shared" ref="F653:F697" si="145">D653*(1+E653)</f>
        <v>792.00000000000011</v>
      </c>
      <c r="G653" s="29" t="s">
        <v>65</v>
      </c>
      <c r="H653" s="29"/>
      <c r="I653" s="29"/>
      <c r="J653" s="33"/>
      <c r="K653" s="34">
        <f t="shared" ref="K653:K697" si="146">J653*F653</f>
        <v>0</v>
      </c>
      <c r="L653" s="35"/>
    </row>
    <row r="654" spans="1:12" s="37" customFormat="1" x14ac:dyDescent="0.25">
      <c r="A654" s="30">
        <f>IF(F654&lt;&gt;"",1+MAX($A$7:A653),"")</f>
        <v>539</v>
      </c>
      <c r="B654" s="31"/>
      <c r="C654" s="50" t="s">
        <v>106</v>
      </c>
      <c r="D654" s="46">
        <v>56.035200000000003</v>
      </c>
      <c r="E654" s="28">
        <v>0.1</v>
      </c>
      <c r="F654" s="32">
        <f t="shared" si="145"/>
        <v>61.638720000000006</v>
      </c>
      <c r="G654" s="29" t="s">
        <v>65</v>
      </c>
      <c r="H654" s="29"/>
      <c r="I654" s="29"/>
      <c r="J654" s="33"/>
      <c r="K654" s="34">
        <f t="shared" si="146"/>
        <v>0</v>
      </c>
      <c r="L654" s="35"/>
    </row>
    <row r="655" spans="1:12" s="37" customFormat="1" x14ac:dyDescent="0.25">
      <c r="A655" s="30">
        <f>IF(F655&lt;&gt;"",1+MAX($A$7:A654),"")</f>
        <v>540</v>
      </c>
      <c r="B655" s="31"/>
      <c r="C655" s="50" t="s">
        <v>107</v>
      </c>
      <c r="D655" s="46">
        <v>84</v>
      </c>
      <c r="E655" s="28">
        <v>0.1</v>
      </c>
      <c r="F655" s="32">
        <f t="shared" si="145"/>
        <v>92.4</v>
      </c>
      <c r="G655" s="29" t="s">
        <v>65</v>
      </c>
      <c r="H655" s="29"/>
      <c r="I655" s="29"/>
      <c r="J655" s="33"/>
      <c r="K655" s="34">
        <f t="shared" si="146"/>
        <v>0</v>
      </c>
      <c r="L655" s="35"/>
    </row>
    <row r="656" spans="1:12" s="37" customFormat="1" x14ac:dyDescent="0.25">
      <c r="A656" s="30">
        <f>IF(F656&lt;&gt;"",1+MAX($A$7:A655),"")</f>
        <v>541</v>
      </c>
      <c r="B656" s="31"/>
      <c r="C656" s="50" t="s">
        <v>1059</v>
      </c>
      <c r="D656" s="46">
        <v>386</v>
      </c>
      <c r="E656" s="28">
        <v>0.1</v>
      </c>
      <c r="F656" s="32">
        <f t="shared" si="145"/>
        <v>424.6</v>
      </c>
      <c r="G656" s="29" t="s">
        <v>65</v>
      </c>
      <c r="H656" s="29"/>
      <c r="I656" s="29"/>
      <c r="J656" s="33"/>
      <c r="K656" s="34">
        <f t="shared" si="146"/>
        <v>0</v>
      </c>
      <c r="L656" s="35"/>
    </row>
    <row r="657" spans="1:12" s="37" customFormat="1" x14ac:dyDescent="0.25">
      <c r="A657" s="30">
        <f>IF(F657&lt;&gt;"",1+MAX($A$7:A656),"")</f>
        <v>542</v>
      </c>
      <c r="B657" s="31"/>
      <c r="C657" s="50" t="s">
        <v>981</v>
      </c>
      <c r="D657" s="46">
        <v>277.40879999999999</v>
      </c>
      <c r="E657" s="28">
        <v>0.1</v>
      </c>
      <c r="F657" s="32">
        <f t="shared" si="145"/>
        <v>305.14967999999999</v>
      </c>
      <c r="G657" s="29" t="s">
        <v>65</v>
      </c>
      <c r="H657" s="29"/>
      <c r="I657" s="29"/>
      <c r="J657" s="33"/>
      <c r="K657" s="34">
        <f t="shared" si="146"/>
        <v>0</v>
      </c>
      <c r="L657" s="35"/>
    </row>
    <row r="658" spans="1:12" s="37" customFormat="1" x14ac:dyDescent="0.25">
      <c r="A658" s="30">
        <f>IF(F658&lt;&gt;"",1+MAX($A$7:A657),"")</f>
        <v>543</v>
      </c>
      <c r="B658" s="31"/>
      <c r="C658" s="50" t="s">
        <v>883</v>
      </c>
      <c r="D658" s="46">
        <v>216.82220000000001</v>
      </c>
      <c r="E658" s="28">
        <v>0.1</v>
      </c>
      <c r="F658" s="32">
        <f t="shared" si="145"/>
        <v>238.50442000000004</v>
      </c>
      <c r="G658" s="29" t="s">
        <v>65</v>
      </c>
      <c r="H658" s="29"/>
      <c r="I658" s="29"/>
      <c r="J658" s="33"/>
      <c r="K658" s="34">
        <f t="shared" si="146"/>
        <v>0</v>
      </c>
      <c r="L658" s="35"/>
    </row>
    <row r="659" spans="1:12" s="37" customFormat="1" x14ac:dyDescent="0.25">
      <c r="A659" s="30">
        <f>IF(F659&lt;&gt;"",1+MAX($A$7:A658),"")</f>
        <v>544</v>
      </c>
      <c r="B659" s="31"/>
      <c r="C659" s="50" t="s">
        <v>1073</v>
      </c>
      <c r="D659" s="46">
        <v>620</v>
      </c>
      <c r="E659" s="28">
        <v>0.1</v>
      </c>
      <c r="F659" s="32">
        <f t="shared" si="145"/>
        <v>682</v>
      </c>
      <c r="G659" s="29" t="s">
        <v>65</v>
      </c>
      <c r="H659" s="29"/>
      <c r="I659" s="29"/>
      <c r="J659" s="33"/>
      <c r="K659" s="34">
        <f t="shared" si="146"/>
        <v>0</v>
      </c>
      <c r="L659" s="35"/>
    </row>
    <row r="660" spans="1:12" s="37" customFormat="1" x14ac:dyDescent="0.25">
      <c r="A660" s="30">
        <f>IF(F660&lt;&gt;"",1+MAX($A$7:A659),"")</f>
        <v>545</v>
      </c>
      <c r="B660" s="31"/>
      <c r="C660" s="50" t="s">
        <v>1040</v>
      </c>
      <c r="D660" s="46">
        <v>220</v>
      </c>
      <c r="E660" s="28">
        <v>0.1</v>
      </c>
      <c r="F660" s="32">
        <f t="shared" si="145"/>
        <v>242.00000000000003</v>
      </c>
      <c r="G660" s="29" t="s">
        <v>65</v>
      </c>
      <c r="H660" s="29"/>
      <c r="I660" s="29"/>
      <c r="J660" s="33"/>
      <c r="K660" s="34">
        <f t="shared" si="146"/>
        <v>0</v>
      </c>
      <c r="L660" s="35"/>
    </row>
    <row r="661" spans="1:12" s="37" customFormat="1" x14ac:dyDescent="0.25">
      <c r="A661" s="30">
        <f>IF(F661&lt;&gt;"",1+MAX($A$7:A660),"")</f>
        <v>546</v>
      </c>
      <c r="B661" s="31"/>
      <c r="C661" s="50" t="s">
        <v>958</v>
      </c>
      <c r="D661" s="46">
        <v>172.7355</v>
      </c>
      <c r="E661" s="28">
        <v>0.1</v>
      </c>
      <c r="F661" s="32">
        <f t="shared" si="145"/>
        <v>190.00905000000003</v>
      </c>
      <c r="G661" s="29" t="s">
        <v>65</v>
      </c>
      <c r="H661" s="29"/>
      <c r="I661" s="29"/>
      <c r="J661" s="33"/>
      <c r="K661" s="34">
        <f t="shared" si="146"/>
        <v>0</v>
      </c>
      <c r="L661" s="35"/>
    </row>
    <row r="662" spans="1:12" s="37" customFormat="1" x14ac:dyDescent="0.25">
      <c r="A662" s="30">
        <f>IF(F662&lt;&gt;"",1+MAX($A$7:A661),"")</f>
        <v>547</v>
      </c>
      <c r="B662" s="31"/>
      <c r="C662" s="50" t="s">
        <v>1015</v>
      </c>
      <c r="D662" s="46">
        <v>158</v>
      </c>
      <c r="E662" s="28">
        <v>0.1</v>
      </c>
      <c r="F662" s="32">
        <f t="shared" si="145"/>
        <v>173.8</v>
      </c>
      <c r="G662" s="29" t="s">
        <v>65</v>
      </c>
      <c r="H662" s="29"/>
      <c r="I662" s="29"/>
      <c r="J662" s="33"/>
      <c r="K662" s="34">
        <f t="shared" si="146"/>
        <v>0</v>
      </c>
      <c r="L662" s="35"/>
    </row>
    <row r="663" spans="1:12" s="37" customFormat="1" x14ac:dyDescent="0.25">
      <c r="A663" s="30">
        <f>IF(F663&lt;&gt;"",1+MAX($A$7:A662),"")</f>
        <v>548</v>
      </c>
      <c r="B663" s="31"/>
      <c r="C663" s="50" t="s">
        <v>884</v>
      </c>
      <c r="D663" s="46">
        <v>123.5003</v>
      </c>
      <c r="E663" s="28">
        <v>0.1</v>
      </c>
      <c r="F663" s="32">
        <f t="shared" si="145"/>
        <v>135.85033000000001</v>
      </c>
      <c r="G663" s="29" t="s">
        <v>65</v>
      </c>
      <c r="H663" s="29"/>
      <c r="I663" s="29"/>
      <c r="J663" s="33"/>
      <c r="K663" s="34">
        <f t="shared" si="146"/>
        <v>0</v>
      </c>
      <c r="L663" s="35"/>
    </row>
    <row r="664" spans="1:12" s="37" customFormat="1" x14ac:dyDescent="0.25">
      <c r="A664" s="30">
        <f>IF(F664&lt;&gt;"",1+MAX($A$7:A663),"")</f>
        <v>549</v>
      </c>
      <c r="B664" s="31"/>
      <c r="C664" s="50" t="s">
        <v>758</v>
      </c>
      <c r="D664" s="46">
        <v>32.518500000000003</v>
      </c>
      <c r="E664" s="28">
        <v>0.1</v>
      </c>
      <c r="F664" s="32">
        <f t="shared" si="145"/>
        <v>35.770350000000008</v>
      </c>
      <c r="G664" s="29" t="s">
        <v>65</v>
      </c>
      <c r="H664" s="29"/>
      <c r="I664" s="29"/>
      <c r="J664" s="33"/>
      <c r="K664" s="34">
        <f t="shared" si="146"/>
        <v>0</v>
      </c>
      <c r="L664" s="35"/>
    </row>
    <row r="665" spans="1:12" s="37" customFormat="1" x14ac:dyDescent="0.25">
      <c r="A665" s="30">
        <f>IF(F665&lt;&gt;"",1+MAX($A$7:A664),"")</f>
        <v>550</v>
      </c>
      <c r="B665" s="31"/>
      <c r="C665" s="50" t="s">
        <v>1050</v>
      </c>
      <c r="D665" s="46">
        <v>500</v>
      </c>
      <c r="E665" s="28">
        <v>0.1</v>
      </c>
      <c r="F665" s="32">
        <f t="shared" si="145"/>
        <v>550</v>
      </c>
      <c r="G665" s="29" t="s">
        <v>65</v>
      </c>
      <c r="H665" s="29"/>
      <c r="I665" s="29"/>
      <c r="J665" s="33"/>
      <c r="K665" s="34">
        <f t="shared" si="146"/>
        <v>0</v>
      </c>
      <c r="L665" s="35"/>
    </row>
    <row r="666" spans="1:12" s="37" customFormat="1" x14ac:dyDescent="0.25">
      <c r="A666" s="30">
        <f>IF(F666&lt;&gt;"",1+MAX($A$7:A665),"")</f>
        <v>551</v>
      </c>
      <c r="B666" s="31"/>
      <c r="C666" s="50" t="s">
        <v>759</v>
      </c>
      <c r="D666" s="46">
        <v>14.8779</v>
      </c>
      <c r="E666" s="28">
        <v>0.1</v>
      </c>
      <c r="F666" s="32">
        <f t="shared" si="145"/>
        <v>16.365690000000001</v>
      </c>
      <c r="G666" s="29" t="s">
        <v>65</v>
      </c>
      <c r="H666" s="29"/>
      <c r="I666" s="29"/>
      <c r="J666" s="33"/>
      <c r="K666" s="34">
        <f t="shared" si="146"/>
        <v>0</v>
      </c>
      <c r="L666" s="35"/>
    </row>
    <row r="667" spans="1:12" s="37" customFormat="1" x14ac:dyDescent="0.25">
      <c r="A667" s="30">
        <f>IF(F667&lt;&gt;"",1+MAX($A$7:A666),"")</f>
        <v>552</v>
      </c>
      <c r="B667" s="31"/>
      <c r="C667" s="50" t="s">
        <v>760</v>
      </c>
      <c r="D667" s="46">
        <v>51.022300000000001</v>
      </c>
      <c r="E667" s="28">
        <v>0.1</v>
      </c>
      <c r="F667" s="32">
        <f t="shared" si="145"/>
        <v>56.124530000000007</v>
      </c>
      <c r="G667" s="29" t="s">
        <v>65</v>
      </c>
      <c r="H667" s="29"/>
      <c r="I667" s="29"/>
      <c r="J667" s="33"/>
      <c r="K667" s="34">
        <f t="shared" si="146"/>
        <v>0</v>
      </c>
      <c r="L667" s="35"/>
    </row>
    <row r="668" spans="1:12" s="37" customFormat="1" x14ac:dyDescent="0.25">
      <c r="A668" s="30">
        <f>IF(F668&lt;&gt;"",1+MAX($A$7:A667),"")</f>
        <v>553</v>
      </c>
      <c r="B668" s="31"/>
      <c r="C668" s="50" t="s">
        <v>1035</v>
      </c>
      <c r="D668" s="46">
        <v>96.5</v>
      </c>
      <c r="E668" s="28">
        <v>0.1</v>
      </c>
      <c r="F668" s="32">
        <f t="shared" si="145"/>
        <v>106.15</v>
      </c>
      <c r="G668" s="29" t="s">
        <v>65</v>
      </c>
      <c r="H668" s="29"/>
      <c r="I668" s="29"/>
      <c r="J668" s="33"/>
      <c r="K668" s="34">
        <f t="shared" si="146"/>
        <v>0</v>
      </c>
      <c r="L668" s="35"/>
    </row>
    <row r="669" spans="1:12" s="37" customFormat="1" x14ac:dyDescent="0.25">
      <c r="A669" s="30">
        <f>IF(F669&lt;&gt;"",1+MAX($A$7:A668),"")</f>
        <v>554</v>
      </c>
      <c r="B669" s="31"/>
      <c r="C669" s="50" t="s">
        <v>1041</v>
      </c>
      <c r="D669" s="46">
        <v>90</v>
      </c>
      <c r="E669" s="28">
        <v>0.1</v>
      </c>
      <c r="F669" s="32">
        <f t="shared" si="145"/>
        <v>99.000000000000014</v>
      </c>
      <c r="G669" s="29" t="s">
        <v>65</v>
      </c>
      <c r="H669" s="29"/>
      <c r="I669" s="29"/>
      <c r="J669" s="33"/>
      <c r="K669" s="34">
        <f t="shared" si="146"/>
        <v>0</v>
      </c>
      <c r="L669" s="35"/>
    </row>
    <row r="670" spans="1:12" s="37" customFormat="1" x14ac:dyDescent="0.25">
      <c r="A670" s="30">
        <f>IF(F670&lt;&gt;"",1+MAX($A$7:A669),"")</f>
        <v>555</v>
      </c>
      <c r="B670" s="31"/>
      <c r="C670" s="50" t="s">
        <v>1088</v>
      </c>
      <c r="D670" s="46">
        <v>310</v>
      </c>
      <c r="E670" s="28">
        <v>0.1</v>
      </c>
      <c r="F670" s="32">
        <f t="shared" si="145"/>
        <v>341</v>
      </c>
      <c r="G670" s="29" t="s">
        <v>65</v>
      </c>
      <c r="H670" s="29"/>
      <c r="I670" s="29"/>
      <c r="J670" s="33"/>
      <c r="K670" s="34">
        <f t="shared" si="146"/>
        <v>0</v>
      </c>
      <c r="L670" s="35"/>
    </row>
    <row r="671" spans="1:12" s="37" customFormat="1" x14ac:dyDescent="0.25">
      <c r="A671" s="30">
        <f>IF(F671&lt;&gt;"",1+MAX($A$7:A670),"")</f>
        <v>556</v>
      </c>
      <c r="B671" s="31"/>
      <c r="C671" s="50" t="s">
        <v>959</v>
      </c>
      <c r="D671" s="46">
        <v>70</v>
      </c>
      <c r="E671" s="28">
        <v>0.1</v>
      </c>
      <c r="F671" s="32">
        <f t="shared" si="145"/>
        <v>77</v>
      </c>
      <c r="G671" s="29" t="s">
        <v>65</v>
      </c>
      <c r="H671" s="29"/>
      <c r="I671" s="29"/>
      <c r="J671" s="33"/>
      <c r="K671" s="34">
        <f t="shared" si="146"/>
        <v>0</v>
      </c>
      <c r="L671" s="35"/>
    </row>
    <row r="672" spans="1:12" s="37" customFormat="1" x14ac:dyDescent="0.25">
      <c r="A672" s="30">
        <f>IF(F672&lt;&gt;"",1+MAX($A$7:A671),"")</f>
        <v>557</v>
      </c>
      <c r="B672" s="31"/>
      <c r="C672" s="50" t="s">
        <v>1082</v>
      </c>
      <c r="D672" s="46">
        <v>230</v>
      </c>
      <c r="E672" s="28">
        <v>0.1</v>
      </c>
      <c r="F672" s="32">
        <f t="shared" si="145"/>
        <v>253.00000000000003</v>
      </c>
      <c r="G672" s="29" t="s">
        <v>65</v>
      </c>
      <c r="H672" s="29"/>
      <c r="I672" s="29"/>
      <c r="J672" s="33"/>
      <c r="K672" s="34">
        <f t="shared" si="146"/>
        <v>0</v>
      </c>
      <c r="L672" s="35"/>
    </row>
    <row r="673" spans="1:12" s="37" customFormat="1" x14ac:dyDescent="0.25">
      <c r="A673" s="30">
        <f>IF(F673&lt;&gt;"",1+MAX($A$7:A672),"")</f>
        <v>558</v>
      </c>
      <c r="B673" s="31"/>
      <c r="C673" s="50" t="s">
        <v>1108</v>
      </c>
      <c r="D673" s="46">
        <v>513.53</v>
      </c>
      <c r="E673" s="28">
        <v>0.1</v>
      </c>
      <c r="F673" s="32">
        <f t="shared" si="145"/>
        <v>564.88300000000004</v>
      </c>
      <c r="G673" s="29" t="s">
        <v>65</v>
      </c>
      <c r="H673" s="29"/>
      <c r="I673" s="29"/>
      <c r="J673" s="33"/>
      <c r="K673" s="34">
        <f t="shared" si="146"/>
        <v>0</v>
      </c>
      <c r="L673" s="35"/>
    </row>
    <row r="674" spans="1:12" s="37" customFormat="1" x14ac:dyDescent="0.25">
      <c r="A674" s="30">
        <f>IF(F674&lt;&gt;"",1+MAX($A$7:A673),"")</f>
        <v>559</v>
      </c>
      <c r="B674" s="31"/>
      <c r="C674" s="50" t="s">
        <v>1079</v>
      </c>
      <c r="D674" s="46">
        <f>290+80</f>
        <v>370</v>
      </c>
      <c r="E674" s="28">
        <v>0.1</v>
      </c>
      <c r="F674" s="32">
        <f t="shared" si="145"/>
        <v>407.00000000000006</v>
      </c>
      <c r="G674" s="29" t="s">
        <v>65</v>
      </c>
      <c r="H674" s="29"/>
      <c r="I674" s="29"/>
      <c r="J674" s="33"/>
      <c r="K674" s="34">
        <f t="shared" si="146"/>
        <v>0</v>
      </c>
      <c r="L674" s="35"/>
    </row>
    <row r="675" spans="1:12" s="37" customFormat="1" x14ac:dyDescent="0.25">
      <c r="A675" s="30">
        <f>IF(F675&lt;&gt;"",1+MAX($A$7:A674),"")</f>
        <v>560</v>
      </c>
      <c r="B675" s="31"/>
      <c r="C675" s="50" t="s">
        <v>1065</v>
      </c>
      <c r="D675" s="46">
        <v>430</v>
      </c>
      <c r="E675" s="28">
        <v>0.1</v>
      </c>
      <c r="F675" s="32">
        <f t="shared" si="145"/>
        <v>473.00000000000006</v>
      </c>
      <c r="G675" s="29" t="s">
        <v>65</v>
      </c>
      <c r="H675" s="29"/>
      <c r="I675" s="29"/>
      <c r="J675" s="33"/>
      <c r="K675" s="34">
        <f t="shared" si="146"/>
        <v>0</v>
      </c>
      <c r="L675" s="35"/>
    </row>
    <row r="676" spans="1:12" s="37" customFormat="1" x14ac:dyDescent="0.25">
      <c r="A676" s="30">
        <f>IF(F676&lt;&gt;"",1+MAX($A$7:A675),"")</f>
        <v>561</v>
      </c>
      <c r="B676" s="31"/>
      <c r="C676" s="50" t="s">
        <v>761</v>
      </c>
      <c r="D676" s="46">
        <v>68</v>
      </c>
      <c r="E676" s="28">
        <v>0.1</v>
      </c>
      <c r="F676" s="32">
        <f t="shared" si="145"/>
        <v>74.800000000000011</v>
      </c>
      <c r="G676" s="29" t="s">
        <v>65</v>
      </c>
      <c r="H676" s="29"/>
      <c r="I676" s="29"/>
      <c r="J676" s="33"/>
      <c r="K676" s="34">
        <f t="shared" si="146"/>
        <v>0</v>
      </c>
      <c r="L676" s="35"/>
    </row>
    <row r="677" spans="1:12" s="37" customFormat="1" x14ac:dyDescent="0.25">
      <c r="A677" s="30">
        <f>IF(F677&lt;&gt;"",1+MAX($A$7:A676),"")</f>
        <v>562</v>
      </c>
      <c r="B677" s="31"/>
      <c r="C677" s="50" t="s">
        <v>762</v>
      </c>
      <c r="D677" s="46">
        <v>30</v>
      </c>
      <c r="E677" s="28">
        <v>0.1</v>
      </c>
      <c r="F677" s="32">
        <f t="shared" si="145"/>
        <v>33</v>
      </c>
      <c r="G677" s="29" t="s">
        <v>65</v>
      </c>
      <c r="H677" s="29"/>
      <c r="I677" s="29"/>
      <c r="J677" s="33"/>
      <c r="K677" s="34">
        <f t="shared" si="146"/>
        <v>0</v>
      </c>
      <c r="L677" s="35"/>
    </row>
    <row r="678" spans="1:12" s="37" customFormat="1" x14ac:dyDescent="0.25">
      <c r="A678" s="30">
        <f>IF(F678&lt;&gt;"",1+MAX($A$7:A677),"")</f>
        <v>563</v>
      </c>
      <c r="B678" s="31"/>
      <c r="C678" s="50" t="s">
        <v>1107</v>
      </c>
      <c r="D678" s="46">
        <v>762</v>
      </c>
      <c r="E678" s="28">
        <v>0.1</v>
      </c>
      <c r="F678" s="32">
        <f t="shared" si="145"/>
        <v>838.2</v>
      </c>
      <c r="G678" s="29" t="s">
        <v>65</v>
      </c>
      <c r="H678" s="29"/>
      <c r="I678" s="29"/>
      <c r="J678" s="33"/>
      <c r="K678" s="34">
        <f t="shared" si="146"/>
        <v>0</v>
      </c>
      <c r="L678" s="35"/>
    </row>
    <row r="679" spans="1:12" s="37" customFormat="1" x14ac:dyDescent="0.25">
      <c r="A679" s="30">
        <f>IF(F679&lt;&gt;"",1+MAX($A$7:A678),"")</f>
        <v>564</v>
      </c>
      <c r="B679" s="31"/>
      <c r="C679" s="50" t="s">
        <v>763</v>
      </c>
      <c r="D679" s="44">
        <v>20</v>
      </c>
      <c r="E679" s="28">
        <v>0.1</v>
      </c>
      <c r="F679" s="32">
        <f t="shared" si="145"/>
        <v>22</v>
      </c>
      <c r="G679" s="29" t="s">
        <v>65</v>
      </c>
      <c r="H679" s="29"/>
      <c r="I679" s="29"/>
      <c r="J679" s="33"/>
      <c r="K679" s="34">
        <f t="shared" si="146"/>
        <v>0</v>
      </c>
      <c r="L679" s="35"/>
    </row>
    <row r="680" spans="1:12" s="37" customFormat="1" x14ac:dyDescent="0.25">
      <c r="A680" s="30">
        <f>IF(F680&lt;&gt;"",1+MAX($A$7:A679),"")</f>
        <v>565</v>
      </c>
      <c r="B680" s="31"/>
      <c r="C680" s="50" t="s">
        <v>1045</v>
      </c>
      <c r="D680" s="46">
        <v>270.60829999999999</v>
      </c>
      <c r="E680" s="28">
        <v>0.1</v>
      </c>
      <c r="F680" s="32">
        <f t="shared" si="145"/>
        <v>297.66913</v>
      </c>
      <c r="G680" s="29" t="s">
        <v>65</v>
      </c>
      <c r="H680" s="29"/>
      <c r="I680" s="29"/>
      <c r="J680" s="33"/>
      <c r="K680" s="34">
        <f t="shared" si="146"/>
        <v>0</v>
      </c>
      <c r="L680" s="35"/>
    </row>
    <row r="681" spans="1:12" s="37" customFormat="1" x14ac:dyDescent="0.25">
      <c r="A681" s="30">
        <f>IF(F681&lt;&gt;"",1+MAX($A$7:A680),"")</f>
        <v>566</v>
      </c>
      <c r="B681" s="31"/>
      <c r="C681" s="50" t="s">
        <v>885</v>
      </c>
      <c r="D681" s="46">
        <v>75</v>
      </c>
      <c r="E681" s="28">
        <v>0.1</v>
      </c>
      <c r="F681" s="32">
        <f t="shared" si="145"/>
        <v>82.5</v>
      </c>
      <c r="G681" s="29" t="s">
        <v>65</v>
      </c>
      <c r="H681" s="29"/>
      <c r="I681" s="29"/>
      <c r="J681" s="33"/>
      <c r="K681" s="34">
        <f t="shared" si="146"/>
        <v>0</v>
      </c>
      <c r="L681" s="35"/>
    </row>
    <row r="682" spans="1:12" s="37" customFormat="1" x14ac:dyDescent="0.25">
      <c r="A682" s="30">
        <f>IF(F682&lt;&gt;"",1+MAX($A$7:A681),"")</f>
        <v>567</v>
      </c>
      <c r="B682" s="31"/>
      <c r="C682" s="50" t="s">
        <v>103</v>
      </c>
      <c r="D682" s="44">
        <v>50</v>
      </c>
      <c r="E682" s="28">
        <v>0.1</v>
      </c>
      <c r="F682" s="32">
        <f t="shared" si="145"/>
        <v>55.000000000000007</v>
      </c>
      <c r="G682" s="29" t="s">
        <v>65</v>
      </c>
      <c r="H682" s="29"/>
      <c r="I682" s="29"/>
      <c r="J682" s="33"/>
      <c r="K682" s="34">
        <f t="shared" si="146"/>
        <v>0</v>
      </c>
      <c r="L682" s="35"/>
    </row>
    <row r="683" spans="1:12" s="37" customFormat="1" x14ac:dyDescent="0.25">
      <c r="A683" s="30">
        <f>IF(F683&lt;&gt;"",1+MAX($A$7:A682),"")</f>
        <v>568</v>
      </c>
      <c r="B683" s="31"/>
      <c r="C683" s="50" t="s">
        <v>1074</v>
      </c>
      <c r="D683" s="46">
        <v>410</v>
      </c>
      <c r="E683" s="28">
        <v>0.1</v>
      </c>
      <c r="F683" s="32">
        <f t="shared" si="145"/>
        <v>451.00000000000006</v>
      </c>
      <c r="G683" s="29" t="s">
        <v>65</v>
      </c>
      <c r="H683" s="29"/>
      <c r="I683" s="29"/>
      <c r="J683" s="33"/>
      <c r="K683" s="34">
        <f t="shared" si="146"/>
        <v>0</v>
      </c>
      <c r="L683" s="35"/>
    </row>
    <row r="684" spans="1:12" s="37" customFormat="1" x14ac:dyDescent="0.25">
      <c r="A684" s="30">
        <f>IF(F684&lt;&gt;"",1+MAX($A$7:A683),"")</f>
        <v>569</v>
      </c>
      <c r="B684" s="31"/>
      <c r="C684" s="50" t="s">
        <v>1069</v>
      </c>
      <c r="D684" s="44">
        <v>365</v>
      </c>
      <c r="E684" s="28">
        <v>0.1</v>
      </c>
      <c r="F684" s="32">
        <f t="shared" si="145"/>
        <v>401.50000000000006</v>
      </c>
      <c r="G684" s="29" t="s">
        <v>65</v>
      </c>
      <c r="H684" s="29"/>
      <c r="I684" s="29"/>
      <c r="J684" s="33"/>
      <c r="K684" s="34">
        <f t="shared" si="146"/>
        <v>0</v>
      </c>
      <c r="L684" s="35"/>
    </row>
    <row r="685" spans="1:12" s="37" customFormat="1" x14ac:dyDescent="0.25">
      <c r="A685" s="30">
        <f>IF(F685&lt;&gt;"",1+MAX($A$7:A684),"")</f>
        <v>570</v>
      </c>
      <c r="B685" s="31"/>
      <c r="C685" s="50" t="s">
        <v>1016</v>
      </c>
      <c r="D685" s="46">
        <v>91.200800000000001</v>
      </c>
      <c r="E685" s="28">
        <v>0.1</v>
      </c>
      <c r="F685" s="32">
        <f t="shared" si="145"/>
        <v>100.32088</v>
      </c>
      <c r="G685" s="29" t="s">
        <v>65</v>
      </c>
      <c r="H685" s="29"/>
      <c r="I685" s="29"/>
      <c r="J685" s="33"/>
      <c r="K685" s="34">
        <f t="shared" si="146"/>
        <v>0</v>
      </c>
      <c r="L685" s="35"/>
    </row>
    <row r="686" spans="1:12" s="37" customFormat="1" x14ac:dyDescent="0.25">
      <c r="A686" s="30">
        <f>IF(F686&lt;&gt;"",1+MAX($A$7:A685),"")</f>
        <v>571</v>
      </c>
      <c r="B686" s="31"/>
      <c r="C686" s="50" t="s">
        <v>886</v>
      </c>
      <c r="D686" s="46">
        <v>12.8133</v>
      </c>
      <c r="E686" s="28">
        <v>0.1</v>
      </c>
      <c r="F686" s="32">
        <f t="shared" si="145"/>
        <v>14.09463</v>
      </c>
      <c r="G686" s="29" t="s">
        <v>65</v>
      </c>
      <c r="H686" s="29"/>
      <c r="I686" s="29"/>
      <c r="J686" s="33"/>
      <c r="K686" s="34">
        <f t="shared" si="146"/>
        <v>0</v>
      </c>
      <c r="L686" s="35"/>
    </row>
    <row r="687" spans="1:12" s="37" customFormat="1" x14ac:dyDescent="0.25">
      <c r="A687" s="30">
        <f>IF(F687&lt;&gt;"",1+MAX($A$7:A686),"")</f>
        <v>572</v>
      </c>
      <c r="B687" s="31"/>
      <c r="C687" s="50" t="s">
        <v>887</v>
      </c>
      <c r="D687" s="46">
        <v>230</v>
      </c>
      <c r="E687" s="28">
        <v>0.1</v>
      </c>
      <c r="F687" s="32">
        <f t="shared" si="145"/>
        <v>253.00000000000003</v>
      </c>
      <c r="G687" s="29" t="s">
        <v>65</v>
      </c>
      <c r="H687" s="29"/>
      <c r="I687" s="29"/>
      <c r="J687" s="33"/>
      <c r="K687" s="34">
        <f t="shared" si="146"/>
        <v>0</v>
      </c>
      <c r="L687" s="35"/>
    </row>
    <row r="688" spans="1:12" s="37" customFormat="1" x14ac:dyDescent="0.25">
      <c r="A688" s="30">
        <f>IF(F688&lt;&gt;"",1+MAX($A$7:A687),"")</f>
        <v>573</v>
      </c>
      <c r="B688" s="31"/>
      <c r="C688" s="50" t="s">
        <v>888</v>
      </c>
      <c r="D688" s="46">
        <v>117.8653</v>
      </c>
      <c r="E688" s="28">
        <v>0.1</v>
      </c>
      <c r="F688" s="32">
        <f t="shared" si="145"/>
        <v>129.65183000000002</v>
      </c>
      <c r="G688" s="29" t="s">
        <v>65</v>
      </c>
      <c r="H688" s="29"/>
      <c r="I688" s="29"/>
      <c r="J688" s="33"/>
      <c r="K688" s="34">
        <f t="shared" si="146"/>
        <v>0</v>
      </c>
      <c r="L688" s="35"/>
    </row>
    <row r="689" spans="1:12" s="37" customFormat="1" x14ac:dyDescent="0.25">
      <c r="A689" s="30">
        <f>IF(F689&lt;&gt;"",1+MAX($A$7:A688),"")</f>
        <v>574</v>
      </c>
      <c r="B689" s="31"/>
      <c r="C689" s="50" t="s">
        <v>764</v>
      </c>
      <c r="D689" s="46">
        <v>93.934700000000007</v>
      </c>
      <c r="E689" s="28">
        <v>0.1</v>
      </c>
      <c r="F689" s="32">
        <f t="shared" si="145"/>
        <v>103.32817000000001</v>
      </c>
      <c r="G689" s="29" t="s">
        <v>65</v>
      </c>
      <c r="H689" s="29"/>
      <c r="I689" s="29"/>
      <c r="J689" s="33"/>
      <c r="K689" s="34">
        <f t="shared" si="146"/>
        <v>0</v>
      </c>
      <c r="L689" s="35"/>
    </row>
    <row r="690" spans="1:12" s="37" customFormat="1" x14ac:dyDescent="0.25">
      <c r="A690" s="30">
        <f>IF(F690&lt;&gt;"",1+MAX($A$7:A689),"")</f>
        <v>575</v>
      </c>
      <c r="B690" s="31"/>
      <c r="C690" s="50" t="s">
        <v>1036</v>
      </c>
      <c r="D690" s="46">
        <v>370</v>
      </c>
      <c r="E690" s="28">
        <v>0.1</v>
      </c>
      <c r="F690" s="32">
        <f t="shared" si="145"/>
        <v>407.00000000000006</v>
      </c>
      <c r="G690" s="29" t="s">
        <v>65</v>
      </c>
      <c r="H690" s="29"/>
      <c r="I690" s="29"/>
      <c r="J690" s="33"/>
      <c r="K690" s="34">
        <f t="shared" si="146"/>
        <v>0</v>
      </c>
      <c r="L690" s="35"/>
    </row>
    <row r="691" spans="1:12" s="37" customFormat="1" x14ac:dyDescent="0.25">
      <c r="A691" s="30">
        <f>IF(F691&lt;&gt;"",1+MAX($A$7:A690),"")</f>
        <v>576</v>
      </c>
      <c r="B691" s="31"/>
      <c r="C691" s="50" t="s">
        <v>889</v>
      </c>
      <c r="D691" s="44">
        <v>35</v>
      </c>
      <c r="E691" s="28">
        <v>0.1</v>
      </c>
      <c r="F691" s="32">
        <f t="shared" si="145"/>
        <v>38.5</v>
      </c>
      <c r="G691" s="29" t="s">
        <v>65</v>
      </c>
      <c r="H691" s="29"/>
      <c r="I691" s="29"/>
      <c r="J691" s="33"/>
      <c r="K691" s="34">
        <f t="shared" si="146"/>
        <v>0</v>
      </c>
      <c r="L691" s="35"/>
    </row>
    <row r="692" spans="1:12" s="37" customFormat="1" x14ac:dyDescent="0.25">
      <c r="A692" s="30">
        <f>IF(F692&lt;&gt;"",1+MAX($A$7:A691),"")</f>
        <v>577</v>
      </c>
      <c r="B692" s="31"/>
      <c r="C692" s="50" t="s">
        <v>765</v>
      </c>
      <c r="D692" s="44">
        <v>10</v>
      </c>
      <c r="E692" s="28">
        <v>0.1</v>
      </c>
      <c r="F692" s="32">
        <f t="shared" si="145"/>
        <v>11</v>
      </c>
      <c r="G692" s="29" t="s">
        <v>65</v>
      </c>
      <c r="H692" s="29"/>
      <c r="I692" s="29"/>
      <c r="J692" s="33"/>
      <c r="K692" s="34">
        <f t="shared" si="146"/>
        <v>0</v>
      </c>
      <c r="L692" s="35"/>
    </row>
    <row r="693" spans="1:12" s="37" customFormat="1" x14ac:dyDescent="0.25">
      <c r="A693" s="30">
        <f>IF(F693&lt;&gt;"",1+MAX($A$7:A692),"")</f>
        <v>578</v>
      </c>
      <c r="B693" s="31"/>
      <c r="C693" s="50" t="s">
        <v>766</v>
      </c>
      <c r="D693" s="44">
        <v>4</v>
      </c>
      <c r="E693" s="28">
        <v>0.1</v>
      </c>
      <c r="F693" s="32">
        <f t="shared" si="145"/>
        <v>4.4000000000000004</v>
      </c>
      <c r="G693" s="29" t="s">
        <v>65</v>
      </c>
      <c r="H693" s="29"/>
      <c r="I693" s="29"/>
      <c r="J693" s="33"/>
      <c r="K693" s="34">
        <f t="shared" si="146"/>
        <v>0</v>
      </c>
      <c r="L693" s="35"/>
    </row>
    <row r="694" spans="1:12" s="37" customFormat="1" x14ac:dyDescent="0.25">
      <c r="A694" s="30">
        <f>IF(F694&lt;&gt;"",1+MAX($A$7:A693),"")</f>
        <v>579</v>
      </c>
      <c r="B694" s="31"/>
      <c r="C694" s="50" t="s">
        <v>960</v>
      </c>
      <c r="D694" s="46">
        <v>34</v>
      </c>
      <c r="E694" s="28">
        <v>0.1</v>
      </c>
      <c r="F694" s="32">
        <f t="shared" si="145"/>
        <v>37.400000000000006</v>
      </c>
      <c r="G694" s="29" t="s">
        <v>65</v>
      </c>
      <c r="H694" s="29"/>
      <c r="I694" s="29"/>
      <c r="J694" s="33"/>
      <c r="K694" s="34">
        <f t="shared" si="146"/>
        <v>0</v>
      </c>
      <c r="L694" s="35"/>
    </row>
    <row r="695" spans="1:12" s="37" customFormat="1" x14ac:dyDescent="0.25">
      <c r="A695" s="30">
        <f>IF(F695&lt;&gt;"",1+MAX($A$7:A694),"")</f>
        <v>580</v>
      </c>
      <c r="B695" s="31"/>
      <c r="C695" s="50" t="s">
        <v>767</v>
      </c>
      <c r="D695" s="44">
        <v>10</v>
      </c>
      <c r="E695" s="28">
        <v>0.1</v>
      </c>
      <c r="F695" s="32">
        <f t="shared" si="145"/>
        <v>11</v>
      </c>
      <c r="G695" s="29" t="s">
        <v>65</v>
      </c>
      <c r="H695" s="29"/>
      <c r="I695" s="29"/>
      <c r="J695" s="33"/>
      <c r="K695" s="34">
        <f t="shared" si="146"/>
        <v>0</v>
      </c>
      <c r="L695" s="35"/>
    </row>
    <row r="696" spans="1:12" s="37" customFormat="1" x14ac:dyDescent="0.25">
      <c r="A696" s="30">
        <f>IF(F696&lt;&gt;"",1+MAX($A$7:A695),"")</f>
        <v>581</v>
      </c>
      <c r="B696" s="31"/>
      <c r="C696" s="50" t="s">
        <v>768</v>
      </c>
      <c r="D696" s="44">
        <v>230</v>
      </c>
      <c r="E696" s="28">
        <v>0.1</v>
      </c>
      <c r="F696" s="32">
        <f t="shared" si="145"/>
        <v>253.00000000000003</v>
      </c>
      <c r="G696" s="29" t="s">
        <v>65</v>
      </c>
      <c r="H696" s="29"/>
      <c r="I696" s="29"/>
      <c r="J696" s="33"/>
      <c r="K696" s="34">
        <f t="shared" si="146"/>
        <v>0</v>
      </c>
      <c r="L696" s="35"/>
    </row>
    <row r="697" spans="1:12" s="37" customFormat="1" x14ac:dyDescent="0.25">
      <c r="A697" s="30">
        <f>IF(F697&lt;&gt;"",1+MAX($A$7:A696),"")</f>
        <v>582</v>
      </c>
      <c r="B697" s="31"/>
      <c r="C697" s="50" t="s">
        <v>890</v>
      </c>
      <c r="D697" s="44">
        <v>10</v>
      </c>
      <c r="E697" s="28">
        <v>0.1</v>
      </c>
      <c r="F697" s="32">
        <f t="shared" si="145"/>
        <v>11</v>
      </c>
      <c r="G697" s="29" t="s">
        <v>65</v>
      </c>
      <c r="H697" s="29"/>
      <c r="I697" s="29"/>
      <c r="J697" s="33"/>
      <c r="K697" s="34">
        <f t="shared" si="146"/>
        <v>0</v>
      </c>
      <c r="L697" s="35"/>
    </row>
    <row r="698" spans="1:12" s="37" customFormat="1" x14ac:dyDescent="0.25">
      <c r="A698" s="30" t="str">
        <f>IF(F698&lt;&gt;"",1+MAX($A$7:A697),"")</f>
        <v/>
      </c>
      <c r="B698" s="31"/>
      <c r="C698" s="50"/>
      <c r="D698" s="44"/>
      <c r="E698" s="28"/>
      <c r="F698" s="32"/>
      <c r="G698" s="29"/>
      <c r="H698" s="29"/>
      <c r="I698" s="29"/>
      <c r="J698" s="33"/>
      <c r="K698" s="34"/>
      <c r="L698" s="35"/>
    </row>
    <row r="699" spans="1:12" s="37" customFormat="1" x14ac:dyDescent="0.25">
      <c r="A699" s="30" t="str">
        <f>IF(F699&lt;&gt;"",1+MAX($A$7:A698),"")</f>
        <v/>
      </c>
      <c r="B699" s="31"/>
      <c r="C699" s="45" t="s">
        <v>67</v>
      </c>
      <c r="D699" s="44"/>
      <c r="E699" s="28"/>
      <c r="F699" s="32"/>
      <c r="G699" s="29"/>
      <c r="H699" s="29"/>
      <c r="I699" s="29"/>
      <c r="J699" s="33"/>
      <c r="K699" s="34"/>
      <c r="L699" s="35"/>
    </row>
    <row r="700" spans="1:12" s="37" customFormat="1" x14ac:dyDescent="0.25">
      <c r="A700" s="30">
        <f>IF(F700&lt;&gt;"",1+MAX($A$7:A699),"")</f>
        <v>583</v>
      </c>
      <c r="B700" s="31"/>
      <c r="C700" s="50" t="s">
        <v>78</v>
      </c>
      <c r="D700" s="46">
        <v>38</v>
      </c>
      <c r="E700" s="28">
        <v>0</v>
      </c>
      <c r="F700" s="32">
        <f t="shared" ref="F700:F718" si="147">D700*(1+E700)</f>
        <v>38</v>
      </c>
      <c r="G700" s="29" t="s">
        <v>66</v>
      </c>
      <c r="H700" s="29"/>
      <c r="I700" s="29"/>
      <c r="J700" s="33"/>
      <c r="K700" s="34">
        <f t="shared" ref="K700:K718" si="148">J700*F700</f>
        <v>0</v>
      </c>
      <c r="L700" s="35"/>
    </row>
    <row r="701" spans="1:12" s="37" customFormat="1" x14ac:dyDescent="0.25">
      <c r="A701" s="30">
        <f>IF(F701&lt;&gt;"",1+MAX($A$7:A700),"")</f>
        <v>584</v>
      </c>
      <c r="B701" s="31"/>
      <c r="C701" s="50" t="s">
        <v>86</v>
      </c>
      <c r="D701" s="46">
        <v>3</v>
      </c>
      <c r="E701" s="28">
        <v>0</v>
      </c>
      <c r="F701" s="32">
        <f t="shared" si="147"/>
        <v>3</v>
      </c>
      <c r="G701" s="29" t="s">
        <v>66</v>
      </c>
      <c r="H701" s="29"/>
      <c r="I701" s="29"/>
      <c r="J701" s="33"/>
      <c r="K701" s="34">
        <f t="shared" si="148"/>
        <v>0</v>
      </c>
      <c r="L701" s="35"/>
    </row>
    <row r="702" spans="1:12" s="37" customFormat="1" x14ac:dyDescent="0.25">
      <c r="A702" s="30">
        <f>IF(F702&lt;&gt;"",1+MAX($A$7:A701),"")</f>
        <v>585</v>
      </c>
      <c r="B702" s="31"/>
      <c r="C702" s="50" t="s">
        <v>87</v>
      </c>
      <c r="D702" s="46">
        <v>8</v>
      </c>
      <c r="E702" s="28">
        <v>0</v>
      </c>
      <c r="F702" s="32">
        <f t="shared" si="147"/>
        <v>8</v>
      </c>
      <c r="G702" s="29" t="s">
        <v>66</v>
      </c>
      <c r="H702" s="29"/>
      <c r="I702" s="29"/>
      <c r="J702" s="33"/>
      <c r="K702" s="34">
        <f t="shared" si="148"/>
        <v>0</v>
      </c>
      <c r="L702" s="35"/>
    </row>
    <row r="703" spans="1:12" s="37" customFormat="1" x14ac:dyDescent="0.25">
      <c r="A703" s="30">
        <f>IF(F703&lt;&gt;"",1+MAX($A$7:A702),"")</f>
        <v>586</v>
      </c>
      <c r="B703" s="31"/>
      <c r="C703" s="50" t="s">
        <v>88</v>
      </c>
      <c r="D703" s="46">
        <v>7</v>
      </c>
      <c r="E703" s="28">
        <v>0</v>
      </c>
      <c r="F703" s="32">
        <f t="shared" si="147"/>
        <v>7</v>
      </c>
      <c r="G703" s="29" t="s">
        <v>66</v>
      </c>
      <c r="H703" s="29"/>
      <c r="I703" s="29"/>
      <c r="J703" s="33"/>
      <c r="K703" s="34">
        <f t="shared" si="148"/>
        <v>0</v>
      </c>
      <c r="L703" s="35"/>
    </row>
    <row r="704" spans="1:12" s="37" customFormat="1" x14ac:dyDescent="0.25">
      <c r="A704" s="30">
        <f>IF(F704&lt;&gt;"",1+MAX($A$7:A703),"")</f>
        <v>587</v>
      </c>
      <c r="B704" s="31"/>
      <c r="C704" s="50" t="s">
        <v>89</v>
      </c>
      <c r="D704" s="46">
        <v>1</v>
      </c>
      <c r="E704" s="28">
        <v>0</v>
      </c>
      <c r="F704" s="32">
        <f t="shared" si="147"/>
        <v>1</v>
      </c>
      <c r="G704" s="29" t="s">
        <v>66</v>
      </c>
      <c r="H704" s="29"/>
      <c r="I704" s="29"/>
      <c r="J704" s="33"/>
      <c r="K704" s="34">
        <f t="shared" si="148"/>
        <v>0</v>
      </c>
      <c r="L704" s="35"/>
    </row>
    <row r="705" spans="1:12" s="37" customFormat="1" x14ac:dyDescent="0.25">
      <c r="A705" s="30">
        <f>IF(F705&lt;&gt;"",1+MAX($A$7:A704),"")</f>
        <v>588</v>
      </c>
      <c r="B705" s="31"/>
      <c r="C705" s="50" t="s">
        <v>90</v>
      </c>
      <c r="D705" s="46">
        <v>1</v>
      </c>
      <c r="E705" s="28">
        <v>0</v>
      </c>
      <c r="F705" s="32">
        <f t="shared" si="147"/>
        <v>1</v>
      </c>
      <c r="G705" s="29" t="s">
        <v>66</v>
      </c>
      <c r="H705" s="29"/>
      <c r="I705" s="29"/>
      <c r="J705" s="33"/>
      <c r="K705" s="34">
        <f t="shared" si="148"/>
        <v>0</v>
      </c>
      <c r="L705" s="35"/>
    </row>
    <row r="706" spans="1:12" s="37" customFormat="1" x14ac:dyDescent="0.25">
      <c r="A706" s="30">
        <f>IF(F706&lt;&gt;"",1+MAX($A$7:A705),"")</f>
        <v>589</v>
      </c>
      <c r="B706" s="31"/>
      <c r="C706" s="50" t="s">
        <v>91</v>
      </c>
      <c r="D706" s="46">
        <v>1</v>
      </c>
      <c r="E706" s="28">
        <v>0</v>
      </c>
      <c r="F706" s="32">
        <f t="shared" si="147"/>
        <v>1</v>
      </c>
      <c r="G706" s="29" t="s">
        <v>66</v>
      </c>
      <c r="H706" s="29"/>
      <c r="I706" s="29"/>
      <c r="J706" s="33"/>
      <c r="K706" s="34">
        <f t="shared" si="148"/>
        <v>0</v>
      </c>
      <c r="L706" s="35"/>
    </row>
    <row r="707" spans="1:12" s="37" customFormat="1" x14ac:dyDescent="0.25">
      <c r="A707" s="30">
        <f>IF(F707&lt;&gt;"",1+MAX($A$7:A706),"")</f>
        <v>590</v>
      </c>
      <c r="B707" s="31"/>
      <c r="C707" s="50" t="s">
        <v>92</v>
      </c>
      <c r="D707" s="46">
        <v>2</v>
      </c>
      <c r="E707" s="28">
        <v>0</v>
      </c>
      <c r="F707" s="32">
        <f t="shared" si="147"/>
        <v>2</v>
      </c>
      <c r="G707" s="29" t="s">
        <v>66</v>
      </c>
      <c r="H707" s="29"/>
      <c r="I707" s="29"/>
      <c r="J707" s="33"/>
      <c r="K707" s="34">
        <f t="shared" si="148"/>
        <v>0</v>
      </c>
      <c r="L707" s="35"/>
    </row>
    <row r="708" spans="1:12" s="37" customFormat="1" x14ac:dyDescent="0.25">
      <c r="A708" s="30">
        <f>IF(F708&lt;&gt;"",1+MAX($A$7:A707),"")</f>
        <v>591</v>
      </c>
      <c r="B708" s="31"/>
      <c r="C708" s="50" t="s">
        <v>93</v>
      </c>
      <c r="D708" s="46">
        <v>4</v>
      </c>
      <c r="E708" s="28">
        <v>0</v>
      </c>
      <c r="F708" s="32">
        <f t="shared" si="147"/>
        <v>4</v>
      </c>
      <c r="G708" s="29" t="s">
        <v>66</v>
      </c>
      <c r="H708" s="29"/>
      <c r="I708" s="29"/>
      <c r="J708" s="33"/>
      <c r="K708" s="34">
        <f t="shared" si="148"/>
        <v>0</v>
      </c>
      <c r="L708" s="35"/>
    </row>
    <row r="709" spans="1:12" s="37" customFormat="1" x14ac:dyDescent="0.25">
      <c r="A709" s="30">
        <f>IF(F709&lt;&gt;"",1+MAX($A$7:A708),"")</f>
        <v>592</v>
      </c>
      <c r="B709" s="31"/>
      <c r="C709" s="50" t="s">
        <v>79</v>
      </c>
      <c r="D709" s="46">
        <v>13</v>
      </c>
      <c r="E709" s="28">
        <v>0</v>
      </c>
      <c r="F709" s="32">
        <f t="shared" si="147"/>
        <v>13</v>
      </c>
      <c r="G709" s="29" t="s">
        <v>66</v>
      </c>
      <c r="H709" s="29"/>
      <c r="I709" s="29"/>
      <c r="J709" s="33"/>
      <c r="K709" s="34">
        <f t="shared" si="148"/>
        <v>0</v>
      </c>
      <c r="L709" s="35"/>
    </row>
    <row r="710" spans="1:12" s="37" customFormat="1" x14ac:dyDescent="0.25">
      <c r="A710" s="30">
        <f>IF(F710&lt;&gt;"",1+MAX($A$7:A709),"")</f>
        <v>593</v>
      </c>
      <c r="B710" s="31"/>
      <c r="C710" s="50" t="s">
        <v>80</v>
      </c>
      <c r="D710" s="46">
        <v>7</v>
      </c>
      <c r="E710" s="28">
        <v>0</v>
      </c>
      <c r="F710" s="32">
        <f t="shared" si="147"/>
        <v>7</v>
      </c>
      <c r="G710" s="29" t="s">
        <v>66</v>
      </c>
      <c r="H710" s="29"/>
      <c r="I710" s="29"/>
      <c r="J710" s="33"/>
      <c r="K710" s="34">
        <f t="shared" si="148"/>
        <v>0</v>
      </c>
      <c r="L710" s="35"/>
    </row>
    <row r="711" spans="1:12" s="37" customFormat="1" x14ac:dyDescent="0.25">
      <c r="A711" s="30">
        <f>IF(F711&lt;&gt;"",1+MAX($A$7:A710),"")</f>
        <v>594</v>
      </c>
      <c r="B711" s="31"/>
      <c r="C711" s="50" t="s">
        <v>81</v>
      </c>
      <c r="D711" s="46">
        <v>4</v>
      </c>
      <c r="E711" s="28">
        <v>0</v>
      </c>
      <c r="F711" s="32">
        <f t="shared" si="147"/>
        <v>4</v>
      </c>
      <c r="G711" s="29" t="s">
        <v>66</v>
      </c>
      <c r="H711" s="29"/>
      <c r="I711" s="29"/>
      <c r="J711" s="33"/>
      <c r="K711" s="34">
        <f t="shared" si="148"/>
        <v>0</v>
      </c>
      <c r="L711" s="35"/>
    </row>
    <row r="712" spans="1:12" s="37" customFormat="1" x14ac:dyDescent="0.25">
      <c r="A712" s="30">
        <f>IF(F712&lt;&gt;"",1+MAX($A$7:A711),"")</f>
        <v>595</v>
      </c>
      <c r="B712" s="31"/>
      <c r="C712" s="50" t="s">
        <v>82</v>
      </c>
      <c r="D712" s="46">
        <f>33+9</f>
        <v>42</v>
      </c>
      <c r="E712" s="28">
        <v>0</v>
      </c>
      <c r="F712" s="32">
        <f t="shared" si="147"/>
        <v>42</v>
      </c>
      <c r="G712" s="29" t="s">
        <v>66</v>
      </c>
      <c r="H712" s="29"/>
      <c r="I712" s="29"/>
      <c r="J712" s="33"/>
      <c r="K712" s="34">
        <f t="shared" si="148"/>
        <v>0</v>
      </c>
      <c r="L712" s="35"/>
    </row>
    <row r="713" spans="1:12" s="37" customFormat="1" x14ac:dyDescent="0.25">
      <c r="A713" s="30">
        <f>IF(F713&lt;&gt;"",1+MAX($A$7:A712),"")</f>
        <v>596</v>
      </c>
      <c r="B713" s="31"/>
      <c r="C713" s="50" t="s">
        <v>83</v>
      </c>
      <c r="D713" s="46">
        <v>13</v>
      </c>
      <c r="E713" s="28">
        <v>0</v>
      </c>
      <c r="F713" s="32">
        <f t="shared" si="147"/>
        <v>13</v>
      </c>
      <c r="G713" s="29" t="s">
        <v>66</v>
      </c>
      <c r="H713" s="29"/>
      <c r="I713" s="29"/>
      <c r="J713" s="33"/>
      <c r="K713" s="34">
        <f t="shared" si="148"/>
        <v>0</v>
      </c>
      <c r="L713" s="35"/>
    </row>
    <row r="714" spans="1:12" s="37" customFormat="1" x14ac:dyDescent="0.25">
      <c r="A714" s="30">
        <f>IF(F714&lt;&gt;"",1+MAX($A$7:A713),"")</f>
        <v>597</v>
      </c>
      <c r="B714" s="31"/>
      <c r="C714" s="50" t="s">
        <v>84</v>
      </c>
      <c r="D714" s="46">
        <v>6</v>
      </c>
      <c r="E714" s="28">
        <v>0</v>
      </c>
      <c r="F714" s="32">
        <f t="shared" si="147"/>
        <v>6</v>
      </c>
      <c r="G714" s="29" t="s">
        <v>66</v>
      </c>
      <c r="H714" s="29"/>
      <c r="I714" s="29"/>
      <c r="J714" s="33"/>
      <c r="K714" s="34">
        <f t="shared" si="148"/>
        <v>0</v>
      </c>
      <c r="L714" s="35"/>
    </row>
    <row r="715" spans="1:12" s="37" customFormat="1" x14ac:dyDescent="0.25">
      <c r="A715" s="30">
        <f>IF(F715&lt;&gt;"",1+MAX($A$7:A714),"")</f>
        <v>598</v>
      </c>
      <c r="B715" s="31"/>
      <c r="C715" s="50" t="s">
        <v>85</v>
      </c>
      <c r="D715" s="46">
        <v>3</v>
      </c>
      <c r="E715" s="28">
        <v>0</v>
      </c>
      <c r="F715" s="32">
        <f t="shared" si="147"/>
        <v>3</v>
      </c>
      <c r="G715" s="29" t="s">
        <v>66</v>
      </c>
      <c r="H715" s="29"/>
      <c r="I715" s="29"/>
      <c r="J715" s="33"/>
      <c r="K715" s="34">
        <f t="shared" si="148"/>
        <v>0</v>
      </c>
      <c r="L715" s="35"/>
    </row>
    <row r="716" spans="1:12" s="37" customFormat="1" x14ac:dyDescent="0.25">
      <c r="A716" s="30">
        <f>IF(F716&lt;&gt;"",1+MAX($A$7:A715),"")</f>
        <v>599</v>
      </c>
      <c r="B716" s="31"/>
      <c r="C716" s="50" t="s">
        <v>75</v>
      </c>
      <c r="D716" s="44">
        <v>7</v>
      </c>
      <c r="E716" s="28">
        <v>0</v>
      </c>
      <c r="F716" s="32">
        <f t="shared" si="147"/>
        <v>7</v>
      </c>
      <c r="G716" s="29" t="s">
        <v>66</v>
      </c>
      <c r="H716" s="29"/>
      <c r="I716" s="29"/>
      <c r="J716" s="33"/>
      <c r="K716" s="34">
        <f t="shared" si="148"/>
        <v>0</v>
      </c>
      <c r="L716" s="35"/>
    </row>
    <row r="717" spans="1:12" s="37" customFormat="1" x14ac:dyDescent="0.25">
      <c r="A717" s="30">
        <f>IF(F717&lt;&gt;"",1+MAX($A$7:A716),"")</f>
        <v>600</v>
      </c>
      <c r="B717" s="31"/>
      <c r="C717" s="50" t="s">
        <v>76</v>
      </c>
      <c r="D717" s="44">
        <f>14+4+3</f>
        <v>21</v>
      </c>
      <c r="E717" s="28">
        <v>0</v>
      </c>
      <c r="F717" s="32">
        <f t="shared" si="147"/>
        <v>21</v>
      </c>
      <c r="G717" s="29" t="s">
        <v>66</v>
      </c>
      <c r="H717" s="29"/>
      <c r="I717" s="29"/>
      <c r="J717" s="33"/>
      <c r="K717" s="34">
        <f t="shared" si="148"/>
        <v>0</v>
      </c>
      <c r="L717" s="35"/>
    </row>
    <row r="718" spans="1:12" s="37" customFormat="1" x14ac:dyDescent="0.25">
      <c r="A718" s="30">
        <f>IF(F718&lt;&gt;"",1+MAX($A$7:A717),"")</f>
        <v>601</v>
      </c>
      <c r="B718" s="31"/>
      <c r="C718" s="50" t="s">
        <v>77</v>
      </c>
      <c r="D718" s="44">
        <v>8</v>
      </c>
      <c r="E718" s="28">
        <v>0</v>
      </c>
      <c r="F718" s="32">
        <f t="shared" si="147"/>
        <v>8</v>
      </c>
      <c r="G718" s="29" t="s">
        <v>66</v>
      </c>
      <c r="H718" s="29"/>
      <c r="I718" s="29"/>
      <c r="J718" s="33"/>
      <c r="K718" s="34">
        <f t="shared" si="148"/>
        <v>0</v>
      </c>
      <c r="L718" s="35"/>
    </row>
    <row r="719" spans="1:12" s="37" customFormat="1" x14ac:dyDescent="0.25">
      <c r="A719" s="30" t="str">
        <f>IF(F719&lt;&gt;"",1+MAX($A$7:A718),"")</f>
        <v/>
      </c>
      <c r="B719" s="31"/>
      <c r="C719" s="45"/>
      <c r="D719" s="44"/>
      <c r="E719" s="28"/>
      <c r="F719" s="32"/>
      <c r="G719" s="29"/>
      <c r="H719" s="29"/>
      <c r="I719" s="29"/>
      <c r="J719" s="33"/>
      <c r="K719" s="34"/>
      <c r="L719" s="35"/>
    </row>
    <row r="720" spans="1:12" s="37" customFormat="1" x14ac:dyDescent="0.25">
      <c r="A720" s="30" t="str">
        <f>IF(F720&lt;&gt;"",1+MAX($A$7:A719),"")</f>
        <v/>
      </c>
      <c r="B720" s="31"/>
      <c r="C720" s="45" t="s">
        <v>94</v>
      </c>
      <c r="D720" s="44"/>
      <c r="E720" s="28"/>
      <c r="F720" s="32"/>
      <c r="G720" s="29"/>
      <c r="H720" s="29"/>
      <c r="I720" s="29"/>
      <c r="J720" s="33"/>
      <c r="K720" s="34"/>
      <c r="L720" s="35"/>
    </row>
    <row r="721" spans="1:12" s="37" customFormat="1" x14ac:dyDescent="0.25">
      <c r="A721" s="30">
        <f>IF(F721&lt;&gt;"",1+MAX($A$7:A720),"")</f>
        <v>602</v>
      </c>
      <c r="B721" s="31"/>
      <c r="C721" s="50" t="s">
        <v>95</v>
      </c>
      <c r="D721" s="44">
        <v>1</v>
      </c>
      <c r="E721" s="28">
        <v>0</v>
      </c>
      <c r="F721" s="32">
        <f t="shared" ref="F721:F729" si="149">D721*(1+E721)</f>
        <v>1</v>
      </c>
      <c r="G721" s="29" t="s">
        <v>66</v>
      </c>
      <c r="H721" s="29"/>
      <c r="I721" s="29"/>
      <c r="J721" s="33"/>
      <c r="K721" s="34">
        <f t="shared" ref="K721:K729" si="150">J721*F721</f>
        <v>0</v>
      </c>
      <c r="L721" s="35"/>
    </row>
    <row r="722" spans="1:12" s="37" customFormat="1" x14ac:dyDescent="0.25">
      <c r="A722" s="30">
        <f>IF(F722&lt;&gt;"",1+MAX($A$7:A721),"")</f>
        <v>603</v>
      </c>
      <c r="B722" s="31"/>
      <c r="C722" s="50" t="s">
        <v>96</v>
      </c>
      <c r="D722" s="44">
        <v>1</v>
      </c>
      <c r="E722" s="28">
        <v>0</v>
      </c>
      <c r="F722" s="32">
        <f t="shared" si="149"/>
        <v>1</v>
      </c>
      <c r="G722" s="29" t="s">
        <v>66</v>
      </c>
      <c r="H722" s="29"/>
      <c r="I722" s="29"/>
      <c r="J722" s="33"/>
      <c r="K722" s="34">
        <f t="shared" si="150"/>
        <v>0</v>
      </c>
      <c r="L722" s="35"/>
    </row>
    <row r="723" spans="1:12" s="37" customFormat="1" x14ac:dyDescent="0.25">
      <c r="A723" s="30">
        <f>IF(F723&lt;&gt;"",1+MAX($A$7:A722),"")</f>
        <v>604</v>
      </c>
      <c r="B723" s="31"/>
      <c r="C723" s="50" t="s">
        <v>97</v>
      </c>
      <c r="D723" s="44">
        <v>2</v>
      </c>
      <c r="E723" s="28">
        <v>0</v>
      </c>
      <c r="F723" s="32">
        <f t="shared" si="149"/>
        <v>2</v>
      </c>
      <c r="G723" s="29" t="s">
        <v>66</v>
      </c>
      <c r="H723" s="29"/>
      <c r="I723" s="29"/>
      <c r="J723" s="33"/>
      <c r="K723" s="34">
        <f t="shared" si="150"/>
        <v>0</v>
      </c>
      <c r="L723" s="35"/>
    </row>
    <row r="724" spans="1:12" s="37" customFormat="1" x14ac:dyDescent="0.25">
      <c r="A724" s="30">
        <f>IF(F724&lt;&gt;"",1+MAX($A$7:A723),"")</f>
        <v>605</v>
      </c>
      <c r="B724" s="31"/>
      <c r="C724" s="50" t="s">
        <v>98</v>
      </c>
      <c r="D724" s="44">
        <v>2</v>
      </c>
      <c r="E724" s="28">
        <v>0</v>
      </c>
      <c r="F724" s="32">
        <f t="shared" si="149"/>
        <v>2</v>
      </c>
      <c r="G724" s="29" t="s">
        <v>66</v>
      </c>
      <c r="H724" s="29"/>
      <c r="I724" s="29"/>
      <c r="J724" s="33"/>
      <c r="K724" s="34">
        <f t="shared" si="150"/>
        <v>0</v>
      </c>
      <c r="L724" s="35"/>
    </row>
    <row r="725" spans="1:12" s="37" customFormat="1" x14ac:dyDescent="0.25">
      <c r="A725" s="30">
        <f>IF(F725&lt;&gt;"",1+MAX($A$7:A724),"")</f>
        <v>606</v>
      </c>
      <c r="B725" s="31"/>
      <c r="C725" s="50" t="s">
        <v>99</v>
      </c>
      <c r="D725" s="44">
        <v>2</v>
      </c>
      <c r="E725" s="28">
        <v>0</v>
      </c>
      <c r="F725" s="32">
        <f t="shared" si="149"/>
        <v>2</v>
      </c>
      <c r="G725" s="29" t="s">
        <v>66</v>
      </c>
      <c r="H725" s="29"/>
      <c r="I725" s="29"/>
      <c r="J725" s="33"/>
      <c r="K725" s="34">
        <f t="shared" si="150"/>
        <v>0</v>
      </c>
      <c r="L725" s="35"/>
    </row>
    <row r="726" spans="1:12" s="37" customFormat="1" x14ac:dyDescent="0.25">
      <c r="A726" s="30">
        <f>IF(F726&lt;&gt;"",1+MAX($A$7:A725),"")</f>
        <v>607</v>
      </c>
      <c r="B726" s="31"/>
      <c r="C726" s="50" t="s">
        <v>100</v>
      </c>
      <c r="D726" s="44">
        <v>2</v>
      </c>
      <c r="E726" s="28">
        <v>0</v>
      </c>
      <c r="F726" s="32">
        <f t="shared" si="149"/>
        <v>2</v>
      </c>
      <c r="G726" s="29" t="s">
        <v>66</v>
      </c>
      <c r="H726" s="29"/>
      <c r="I726" s="29"/>
      <c r="J726" s="33"/>
      <c r="K726" s="34">
        <f t="shared" si="150"/>
        <v>0</v>
      </c>
      <c r="L726" s="35"/>
    </row>
    <row r="727" spans="1:12" s="37" customFormat="1" x14ac:dyDescent="0.25">
      <c r="A727" s="30">
        <f>IF(F727&lt;&gt;"",1+MAX($A$7:A726),"")</f>
        <v>608</v>
      </c>
      <c r="B727" s="31"/>
      <c r="C727" s="50" t="s">
        <v>101</v>
      </c>
      <c r="D727" s="44">
        <v>2</v>
      </c>
      <c r="E727" s="28">
        <v>0</v>
      </c>
      <c r="F727" s="32">
        <f t="shared" si="149"/>
        <v>2</v>
      </c>
      <c r="G727" s="29" t="s">
        <v>66</v>
      </c>
      <c r="H727" s="29"/>
      <c r="I727" s="29"/>
      <c r="J727" s="33"/>
      <c r="K727" s="34">
        <f t="shared" si="150"/>
        <v>0</v>
      </c>
      <c r="L727" s="35"/>
    </row>
    <row r="728" spans="1:12" s="37" customFormat="1" x14ac:dyDescent="0.25">
      <c r="A728" s="30">
        <f>IF(F728&lt;&gt;"",1+MAX($A$7:A727),"")</f>
        <v>609</v>
      </c>
      <c r="B728" s="31"/>
      <c r="C728" s="50" t="s">
        <v>102</v>
      </c>
      <c r="D728" s="44">
        <v>1</v>
      </c>
      <c r="E728" s="28">
        <v>0</v>
      </c>
      <c r="F728" s="32">
        <f t="shared" si="149"/>
        <v>1</v>
      </c>
      <c r="G728" s="29" t="s">
        <v>66</v>
      </c>
      <c r="H728" s="29"/>
      <c r="I728" s="29"/>
      <c r="J728" s="33"/>
      <c r="K728" s="34">
        <f t="shared" si="150"/>
        <v>0</v>
      </c>
      <c r="L728" s="35"/>
    </row>
    <row r="729" spans="1:12" s="37" customFormat="1" x14ac:dyDescent="0.25">
      <c r="A729" s="30">
        <f>IF(F729&lt;&gt;"",1+MAX($A$7:A728),"")</f>
        <v>610</v>
      </c>
      <c r="B729" s="31"/>
      <c r="C729" s="50" t="s">
        <v>101</v>
      </c>
      <c r="D729" s="44">
        <v>1</v>
      </c>
      <c r="E729" s="28">
        <v>0</v>
      </c>
      <c r="F729" s="32">
        <f t="shared" si="149"/>
        <v>1</v>
      </c>
      <c r="G729" s="29" t="s">
        <v>66</v>
      </c>
      <c r="H729" s="29"/>
      <c r="I729" s="29"/>
      <c r="J729" s="33"/>
      <c r="K729" s="34">
        <f t="shared" si="150"/>
        <v>0</v>
      </c>
      <c r="L729" s="35"/>
    </row>
    <row r="730" spans="1:12" s="37" customFormat="1" x14ac:dyDescent="0.25">
      <c r="A730" s="30" t="str">
        <f>IF(F730&lt;&gt;"",1+MAX($A$7:A729),"")</f>
        <v/>
      </c>
      <c r="B730" s="31"/>
      <c r="C730" s="50"/>
      <c r="D730" s="44"/>
      <c r="E730" s="28"/>
      <c r="F730" s="32"/>
      <c r="G730" s="29"/>
      <c r="H730" s="29"/>
      <c r="I730" s="29"/>
      <c r="J730" s="33"/>
      <c r="K730" s="34"/>
      <c r="L730" s="35"/>
    </row>
    <row r="731" spans="1:12" s="37" customFormat="1" x14ac:dyDescent="0.25">
      <c r="A731" s="30" t="str">
        <f>IF(F731&lt;&gt;"",1+MAX($A$7:A730),"")</f>
        <v/>
      </c>
      <c r="B731" s="31"/>
      <c r="C731" s="96" t="s">
        <v>188</v>
      </c>
      <c r="D731" s="44"/>
      <c r="E731" s="28"/>
      <c r="F731" s="32"/>
      <c r="G731" s="29"/>
      <c r="H731" s="29"/>
      <c r="I731" s="29"/>
      <c r="J731" s="33"/>
      <c r="K731" s="34"/>
      <c r="L731" s="35"/>
    </row>
    <row r="732" spans="1:12" s="37" customFormat="1" x14ac:dyDescent="0.25">
      <c r="A732" s="30" t="str">
        <f>IF(F732&lt;&gt;"",1+MAX($A$7:A731),"")</f>
        <v/>
      </c>
      <c r="B732" s="31"/>
      <c r="C732" s="50"/>
      <c r="D732" s="44"/>
      <c r="E732" s="28"/>
      <c r="F732" s="32"/>
      <c r="G732" s="29"/>
      <c r="H732" s="29"/>
      <c r="I732" s="29"/>
      <c r="J732" s="33"/>
      <c r="K732" s="34"/>
      <c r="L732" s="35"/>
    </row>
    <row r="733" spans="1:12" s="37" customFormat="1" x14ac:dyDescent="0.25">
      <c r="A733" s="30" t="str">
        <f>IF(F733&lt;&gt;"",1+MAX($A$7:A732),"")</f>
        <v/>
      </c>
      <c r="B733" s="31"/>
      <c r="C733" s="45" t="s">
        <v>189</v>
      </c>
      <c r="D733" s="44"/>
      <c r="E733" s="28"/>
      <c r="F733" s="32"/>
      <c r="G733" s="29"/>
      <c r="H733" s="29"/>
      <c r="I733" s="29"/>
      <c r="J733" s="33"/>
      <c r="K733" s="34"/>
      <c r="L733" s="35"/>
    </row>
    <row r="734" spans="1:12" s="37" customFormat="1" x14ac:dyDescent="0.25">
      <c r="A734" s="30">
        <f>IF(F734&lt;&gt;"",1+MAX($A$7:A733),"")</f>
        <v>611</v>
      </c>
      <c r="B734" s="31"/>
      <c r="C734" s="50" t="s">
        <v>190</v>
      </c>
      <c r="D734" s="44">
        <v>1</v>
      </c>
      <c r="E734" s="28">
        <v>0</v>
      </c>
      <c r="F734" s="32">
        <f t="shared" ref="F734:F735" si="151">D734*(1+E734)</f>
        <v>1</v>
      </c>
      <c r="G734" s="29" t="s">
        <v>66</v>
      </c>
      <c r="H734" s="29"/>
      <c r="I734" s="29"/>
      <c r="J734" s="33"/>
      <c r="K734" s="34">
        <f t="shared" ref="K734:K735" si="152">J734*F734</f>
        <v>0</v>
      </c>
      <c r="L734" s="35"/>
    </row>
    <row r="735" spans="1:12" s="37" customFormat="1" x14ac:dyDescent="0.25">
      <c r="A735" s="30">
        <f>IF(F735&lt;&gt;"",1+MAX($A$7:A734),"")</f>
        <v>612</v>
      </c>
      <c r="B735" s="31"/>
      <c r="C735" s="50" t="s">
        <v>191</v>
      </c>
      <c r="D735" s="44">
        <v>1</v>
      </c>
      <c r="E735" s="28">
        <v>0</v>
      </c>
      <c r="F735" s="32">
        <f t="shared" si="151"/>
        <v>1</v>
      </c>
      <c r="G735" s="29" t="s">
        <v>66</v>
      </c>
      <c r="H735" s="29"/>
      <c r="I735" s="29"/>
      <c r="J735" s="33"/>
      <c r="K735" s="34">
        <f t="shared" si="152"/>
        <v>0</v>
      </c>
      <c r="L735" s="35"/>
    </row>
    <row r="736" spans="1:12" s="37" customFormat="1" x14ac:dyDescent="0.25">
      <c r="A736" s="30" t="str">
        <f>IF(F736&lt;&gt;"",1+MAX($A$7:A735),"")</f>
        <v/>
      </c>
      <c r="B736" s="31"/>
      <c r="C736" s="50"/>
      <c r="D736" s="44"/>
      <c r="E736" s="28"/>
      <c r="F736" s="32"/>
      <c r="G736" s="29"/>
      <c r="H736" s="29"/>
      <c r="I736" s="29"/>
      <c r="J736" s="33"/>
      <c r="K736" s="34"/>
      <c r="L736" s="35"/>
    </row>
    <row r="737" spans="1:12" s="37" customFormat="1" x14ac:dyDescent="0.25">
      <c r="A737" s="30">
        <f>IF(F737&lt;&gt;"",1+MAX($A$7:A736),"")</f>
        <v>613</v>
      </c>
      <c r="B737" s="31"/>
      <c r="C737" s="50" t="s">
        <v>192</v>
      </c>
      <c r="D737" s="44">
        <v>1</v>
      </c>
      <c r="E737" s="28">
        <v>0</v>
      </c>
      <c r="F737" s="32">
        <f t="shared" ref="F737" si="153">D737*(1+E737)</f>
        <v>1</v>
      </c>
      <c r="G737" s="29" t="s">
        <v>13</v>
      </c>
      <c r="H737" s="29"/>
      <c r="I737" s="29"/>
      <c r="J737" s="33"/>
      <c r="K737" s="34">
        <f t="shared" ref="K737" si="154">J737*F737</f>
        <v>0</v>
      </c>
      <c r="L737" s="35"/>
    </row>
    <row r="738" spans="1:12" s="37" customFormat="1" ht="15.75" thickBot="1" x14ac:dyDescent="0.3">
      <c r="A738" s="30" t="str">
        <f>IF(F738&lt;&gt;"",1+MAX($A$7:A737),"")</f>
        <v/>
      </c>
      <c r="B738" s="31"/>
      <c r="C738" s="45"/>
      <c r="D738" s="44"/>
      <c r="E738" s="28"/>
      <c r="F738" s="32"/>
      <c r="G738" s="29"/>
      <c r="H738" s="29"/>
      <c r="I738" s="29"/>
      <c r="J738" s="33"/>
      <c r="K738" s="34"/>
      <c r="L738" s="35"/>
    </row>
    <row r="739" spans="1:12" ht="15.75" thickBot="1" x14ac:dyDescent="0.3">
      <c r="A739" s="99" t="str">
        <f>IF(F739&lt;&gt;"",1+MAX($A$7:A738),"")</f>
        <v/>
      </c>
      <c r="B739" s="7" t="s">
        <v>57</v>
      </c>
      <c r="C739" s="48" t="s">
        <v>14</v>
      </c>
      <c r="D739" s="102"/>
      <c r="E739" s="8"/>
      <c r="F739" s="8"/>
      <c r="G739" s="7"/>
      <c r="H739" s="7"/>
      <c r="I739" s="7"/>
      <c r="J739" s="25"/>
      <c r="K739" s="21"/>
      <c r="L739" s="9">
        <f>SUM(K740:K1035)</f>
        <v>0</v>
      </c>
    </row>
    <row r="740" spans="1:12" s="37" customFormat="1" x14ac:dyDescent="0.25">
      <c r="A740" s="30" t="str">
        <f>IF(F740&lt;&gt;"",1+MAX($A$7:A739),"")</f>
        <v/>
      </c>
      <c r="B740" s="31"/>
      <c r="C740" s="43"/>
      <c r="D740" s="44"/>
      <c r="E740" s="28"/>
      <c r="F740" s="32"/>
      <c r="G740" s="29"/>
      <c r="H740" s="29"/>
      <c r="I740" s="29"/>
      <c r="J740" s="33"/>
      <c r="K740" s="34"/>
      <c r="L740" s="35"/>
    </row>
    <row r="741" spans="1:12" s="37" customFormat="1" x14ac:dyDescent="0.25">
      <c r="A741" s="30" t="str">
        <f>IF(F741&lt;&gt;"",1+MAX($A$7:A740),"")</f>
        <v/>
      </c>
      <c r="B741" s="31"/>
      <c r="C741" s="49" t="s">
        <v>108</v>
      </c>
      <c r="D741" s="44"/>
      <c r="E741" s="28"/>
      <c r="F741" s="32"/>
      <c r="G741" s="29"/>
      <c r="H741" s="29"/>
      <c r="I741" s="29"/>
      <c r="J741" s="33"/>
      <c r="K741" s="34"/>
      <c r="L741" s="35"/>
    </row>
    <row r="742" spans="1:12" s="37" customFormat="1" x14ac:dyDescent="0.25">
      <c r="A742" s="30">
        <f>IF(F742&lt;&gt;"",1+MAX($A$7:A741),"")</f>
        <v>614</v>
      </c>
      <c r="B742" s="31"/>
      <c r="C742" s="50" t="s">
        <v>982</v>
      </c>
      <c r="D742" s="46">
        <v>112.1482</v>
      </c>
      <c r="E742" s="28">
        <v>0.1</v>
      </c>
      <c r="F742" s="32">
        <f t="shared" ref="F742:F805" si="155">D742*(1+E742)</f>
        <v>123.36302000000002</v>
      </c>
      <c r="G742" s="29" t="s">
        <v>65</v>
      </c>
      <c r="H742" s="29"/>
      <c r="I742" s="29"/>
      <c r="J742" s="33"/>
      <c r="K742" s="34">
        <f t="shared" ref="K742:K805" si="156">J742*F742</f>
        <v>0</v>
      </c>
      <c r="L742" s="35"/>
    </row>
    <row r="743" spans="1:12" s="37" customFormat="1" x14ac:dyDescent="0.25">
      <c r="A743" s="30">
        <f>IF(F743&lt;&gt;"",1+MAX($A$7:A742),"")</f>
        <v>615</v>
      </c>
      <c r="B743" s="31"/>
      <c r="C743" s="50" t="s">
        <v>1112</v>
      </c>
      <c r="D743" s="46">
        <v>187.81979999999999</v>
      </c>
      <c r="E743" s="28">
        <v>0.1</v>
      </c>
      <c r="F743" s="32">
        <f t="shared" si="155"/>
        <v>206.60177999999999</v>
      </c>
      <c r="G743" s="29" t="s">
        <v>65</v>
      </c>
      <c r="H743" s="29"/>
      <c r="I743" s="29"/>
      <c r="J743" s="33"/>
      <c r="K743" s="34">
        <f t="shared" si="156"/>
        <v>0</v>
      </c>
      <c r="L743" s="35"/>
    </row>
    <row r="744" spans="1:12" s="37" customFormat="1" x14ac:dyDescent="0.25">
      <c r="A744" s="30">
        <f>IF(F744&lt;&gt;"",1+MAX($A$7:A743),"")</f>
        <v>616</v>
      </c>
      <c r="B744" s="31"/>
      <c r="C744" s="50" t="s">
        <v>1060</v>
      </c>
      <c r="D744" s="46">
        <v>409.71469999999999</v>
      </c>
      <c r="E744" s="28">
        <v>0.1</v>
      </c>
      <c r="F744" s="32">
        <f t="shared" si="155"/>
        <v>450.68617</v>
      </c>
      <c r="G744" s="29" t="s">
        <v>65</v>
      </c>
      <c r="H744" s="29"/>
      <c r="I744" s="29"/>
      <c r="J744" s="33"/>
      <c r="K744" s="34">
        <f t="shared" si="156"/>
        <v>0</v>
      </c>
      <c r="L744" s="35"/>
    </row>
    <row r="745" spans="1:12" s="37" customFormat="1" x14ac:dyDescent="0.25">
      <c r="A745" s="30">
        <f>IF(F745&lt;&gt;"",1+MAX($A$7:A744),"")</f>
        <v>617</v>
      </c>
      <c r="B745" s="31"/>
      <c r="C745" s="50" t="s">
        <v>1046</v>
      </c>
      <c r="D745" s="46">
        <v>252</v>
      </c>
      <c r="E745" s="28">
        <v>0.1</v>
      </c>
      <c r="F745" s="32">
        <f t="shared" si="155"/>
        <v>277.20000000000005</v>
      </c>
      <c r="G745" s="29" t="s">
        <v>65</v>
      </c>
      <c r="H745" s="29"/>
      <c r="I745" s="29"/>
      <c r="J745" s="33"/>
      <c r="K745" s="34">
        <f t="shared" si="156"/>
        <v>0</v>
      </c>
      <c r="L745" s="35"/>
    </row>
    <row r="746" spans="1:12" s="37" customFormat="1" x14ac:dyDescent="0.25">
      <c r="A746" s="30">
        <f>IF(F746&lt;&gt;"",1+MAX($A$7:A745),"")</f>
        <v>618</v>
      </c>
      <c r="B746" s="31"/>
      <c r="C746" s="50" t="s">
        <v>769</v>
      </c>
      <c r="D746" s="46">
        <v>10.107200000000001</v>
      </c>
      <c r="E746" s="28">
        <v>0.1</v>
      </c>
      <c r="F746" s="32">
        <f t="shared" si="155"/>
        <v>11.117920000000002</v>
      </c>
      <c r="G746" s="29" t="s">
        <v>65</v>
      </c>
      <c r="H746" s="29"/>
      <c r="I746" s="29"/>
      <c r="J746" s="33"/>
      <c r="K746" s="34">
        <f t="shared" si="156"/>
        <v>0</v>
      </c>
      <c r="L746" s="35"/>
    </row>
    <row r="747" spans="1:12" s="37" customFormat="1" x14ac:dyDescent="0.25">
      <c r="A747" s="30">
        <f>IF(F747&lt;&gt;"",1+MAX($A$7:A746),"")</f>
        <v>619</v>
      </c>
      <c r="B747" s="31"/>
      <c r="C747" s="50" t="s">
        <v>1051</v>
      </c>
      <c r="D747" s="46">
        <v>94.619799999999998</v>
      </c>
      <c r="E747" s="28">
        <v>0.1</v>
      </c>
      <c r="F747" s="32">
        <f t="shared" si="155"/>
        <v>104.08178000000001</v>
      </c>
      <c r="G747" s="29" t="s">
        <v>65</v>
      </c>
      <c r="H747" s="29"/>
      <c r="I747" s="29"/>
      <c r="J747" s="33"/>
      <c r="K747" s="34">
        <f t="shared" si="156"/>
        <v>0</v>
      </c>
      <c r="L747" s="35"/>
    </row>
    <row r="748" spans="1:12" s="37" customFormat="1" x14ac:dyDescent="0.25">
      <c r="A748" s="30">
        <f>IF(F748&lt;&gt;"",1+MAX($A$7:A747),"")</f>
        <v>620</v>
      </c>
      <c r="B748" s="31"/>
      <c r="C748" s="50" t="s">
        <v>770</v>
      </c>
      <c r="D748" s="46">
        <v>14.045199999999999</v>
      </c>
      <c r="E748" s="28">
        <v>0.1</v>
      </c>
      <c r="F748" s="32">
        <f t="shared" si="155"/>
        <v>15.449720000000001</v>
      </c>
      <c r="G748" s="29" t="s">
        <v>65</v>
      </c>
      <c r="H748" s="29"/>
      <c r="I748" s="29"/>
      <c r="J748" s="33"/>
      <c r="K748" s="34">
        <f t="shared" si="156"/>
        <v>0</v>
      </c>
      <c r="L748" s="35"/>
    </row>
    <row r="749" spans="1:12" s="37" customFormat="1" x14ac:dyDescent="0.25">
      <c r="A749" s="30">
        <f>IF(F749&lt;&gt;"",1+MAX($A$7:A748),"")</f>
        <v>621</v>
      </c>
      <c r="B749" s="31"/>
      <c r="C749" s="50" t="s">
        <v>1017</v>
      </c>
      <c r="D749" s="46">
        <v>41.868899999999996</v>
      </c>
      <c r="E749" s="28">
        <v>0.1</v>
      </c>
      <c r="F749" s="32">
        <f t="shared" si="155"/>
        <v>46.055790000000002</v>
      </c>
      <c r="G749" s="29" t="s">
        <v>65</v>
      </c>
      <c r="H749" s="29"/>
      <c r="I749" s="29"/>
      <c r="J749" s="33"/>
      <c r="K749" s="34">
        <f t="shared" si="156"/>
        <v>0</v>
      </c>
      <c r="L749" s="35"/>
    </row>
    <row r="750" spans="1:12" s="37" customFormat="1" x14ac:dyDescent="0.25">
      <c r="A750" s="30">
        <f>IF(F750&lt;&gt;"",1+MAX($A$7:A749),"")</f>
        <v>622</v>
      </c>
      <c r="B750" s="31"/>
      <c r="C750" s="50" t="s">
        <v>1080</v>
      </c>
      <c r="D750" s="46">
        <v>151.34309999999999</v>
      </c>
      <c r="E750" s="28">
        <v>0.1</v>
      </c>
      <c r="F750" s="32">
        <f t="shared" si="155"/>
        <v>166.47740999999999</v>
      </c>
      <c r="G750" s="29" t="s">
        <v>65</v>
      </c>
      <c r="H750" s="29"/>
      <c r="I750" s="29"/>
      <c r="J750" s="33"/>
      <c r="K750" s="34">
        <f t="shared" si="156"/>
        <v>0</v>
      </c>
      <c r="L750" s="35"/>
    </row>
    <row r="751" spans="1:12" s="37" customFormat="1" x14ac:dyDescent="0.25">
      <c r="A751" s="30">
        <f>IF(F751&lt;&gt;"",1+MAX($A$7:A750),"")</f>
        <v>623</v>
      </c>
      <c r="B751" s="31"/>
      <c r="C751" s="50" t="s">
        <v>1086</v>
      </c>
      <c r="D751" s="46">
        <v>348.5</v>
      </c>
      <c r="E751" s="28">
        <v>0.1</v>
      </c>
      <c r="F751" s="32">
        <f t="shared" si="155"/>
        <v>383.35</v>
      </c>
      <c r="G751" s="29" t="s">
        <v>65</v>
      </c>
      <c r="H751" s="29"/>
      <c r="I751" s="29"/>
      <c r="J751" s="33"/>
      <c r="K751" s="34">
        <f t="shared" si="156"/>
        <v>0</v>
      </c>
      <c r="L751" s="35"/>
    </row>
    <row r="752" spans="1:12" s="37" customFormat="1" x14ac:dyDescent="0.25">
      <c r="A752" s="30">
        <f>IF(F752&lt;&gt;"",1+MAX($A$7:A751),"")</f>
        <v>624</v>
      </c>
      <c r="B752" s="31"/>
      <c r="C752" s="50" t="s">
        <v>961</v>
      </c>
      <c r="D752" s="46">
        <v>102.8091</v>
      </c>
      <c r="E752" s="28">
        <v>0.1</v>
      </c>
      <c r="F752" s="32">
        <f t="shared" si="155"/>
        <v>113.09001000000001</v>
      </c>
      <c r="G752" s="29" t="s">
        <v>65</v>
      </c>
      <c r="H752" s="29"/>
      <c r="I752" s="29"/>
      <c r="J752" s="33"/>
      <c r="K752" s="34">
        <f t="shared" si="156"/>
        <v>0</v>
      </c>
      <c r="L752" s="35"/>
    </row>
    <row r="753" spans="1:12" s="37" customFormat="1" x14ac:dyDescent="0.25">
      <c r="A753" s="30">
        <f>IF(F753&lt;&gt;"",1+MAX($A$7:A752),"")</f>
        <v>625</v>
      </c>
      <c r="B753" s="31"/>
      <c r="C753" s="50" t="s">
        <v>983</v>
      </c>
      <c r="D753" s="46">
        <v>76.162199999999999</v>
      </c>
      <c r="E753" s="28">
        <v>0.1</v>
      </c>
      <c r="F753" s="32">
        <f t="shared" si="155"/>
        <v>83.778420000000011</v>
      </c>
      <c r="G753" s="29" t="s">
        <v>65</v>
      </c>
      <c r="H753" s="29"/>
      <c r="I753" s="29"/>
      <c r="J753" s="33"/>
      <c r="K753" s="34">
        <f t="shared" si="156"/>
        <v>0</v>
      </c>
      <c r="L753" s="35"/>
    </row>
    <row r="754" spans="1:12" s="37" customFormat="1" x14ac:dyDescent="0.25">
      <c r="A754" s="30">
        <f>IF(F754&lt;&gt;"",1+MAX($A$7:A753),"")</f>
        <v>626</v>
      </c>
      <c r="B754" s="31"/>
      <c r="C754" s="50" t="s">
        <v>1047</v>
      </c>
      <c r="D754" s="46">
        <v>127.3931</v>
      </c>
      <c r="E754" s="28">
        <v>0.1</v>
      </c>
      <c r="F754" s="32">
        <f t="shared" si="155"/>
        <v>140.13241000000002</v>
      </c>
      <c r="G754" s="29" t="s">
        <v>65</v>
      </c>
      <c r="H754" s="29"/>
      <c r="I754" s="29"/>
      <c r="J754" s="33"/>
      <c r="K754" s="34">
        <f t="shared" si="156"/>
        <v>0</v>
      </c>
      <c r="L754" s="35"/>
    </row>
    <row r="755" spans="1:12" s="37" customFormat="1" x14ac:dyDescent="0.25">
      <c r="A755" s="30">
        <f>IF(F755&lt;&gt;"",1+MAX($A$7:A754),"")</f>
        <v>627</v>
      </c>
      <c r="B755" s="31"/>
      <c r="C755" s="50" t="s">
        <v>1037</v>
      </c>
      <c r="D755" s="46">
        <v>154.2328</v>
      </c>
      <c r="E755" s="28">
        <v>0.1</v>
      </c>
      <c r="F755" s="32">
        <f t="shared" si="155"/>
        <v>169.65608</v>
      </c>
      <c r="G755" s="29" t="s">
        <v>65</v>
      </c>
      <c r="H755" s="29"/>
      <c r="I755" s="29"/>
      <c r="J755" s="33"/>
      <c r="K755" s="34">
        <f t="shared" si="156"/>
        <v>0</v>
      </c>
      <c r="L755" s="35"/>
    </row>
    <row r="756" spans="1:12" s="37" customFormat="1" x14ac:dyDescent="0.25">
      <c r="A756" s="30">
        <f>IF(F756&lt;&gt;"",1+MAX($A$7:A755),"")</f>
        <v>628</v>
      </c>
      <c r="B756" s="31"/>
      <c r="C756" s="50" t="s">
        <v>771</v>
      </c>
      <c r="D756" s="46">
        <v>10</v>
      </c>
      <c r="E756" s="28">
        <v>0.1</v>
      </c>
      <c r="F756" s="32">
        <f t="shared" si="155"/>
        <v>11</v>
      </c>
      <c r="G756" s="29" t="s">
        <v>65</v>
      </c>
      <c r="H756" s="29"/>
      <c r="I756" s="29"/>
      <c r="J756" s="33"/>
      <c r="K756" s="34">
        <f t="shared" si="156"/>
        <v>0</v>
      </c>
      <c r="L756" s="35"/>
    </row>
    <row r="757" spans="1:12" s="37" customFormat="1" x14ac:dyDescent="0.25">
      <c r="A757" s="30">
        <f>IF(F757&lt;&gt;"",1+MAX($A$7:A756),"")</f>
        <v>629</v>
      </c>
      <c r="B757" s="31"/>
      <c r="C757" s="50" t="s">
        <v>1042</v>
      </c>
      <c r="D757" s="46">
        <v>38.981400000000001</v>
      </c>
      <c r="E757" s="28">
        <v>0.1</v>
      </c>
      <c r="F757" s="32">
        <f t="shared" si="155"/>
        <v>42.879540000000006</v>
      </c>
      <c r="G757" s="29" t="s">
        <v>65</v>
      </c>
      <c r="H757" s="29"/>
      <c r="I757" s="29"/>
      <c r="J757" s="33"/>
      <c r="K757" s="34">
        <f t="shared" si="156"/>
        <v>0</v>
      </c>
      <c r="L757" s="35"/>
    </row>
    <row r="758" spans="1:12" s="37" customFormat="1" x14ac:dyDescent="0.25">
      <c r="A758" s="30">
        <f>IF(F758&lt;&gt;"",1+MAX($A$7:A757),"")</f>
        <v>630</v>
      </c>
      <c r="B758" s="31"/>
      <c r="C758" s="50" t="s">
        <v>984</v>
      </c>
      <c r="D758" s="46">
        <v>98.007000000000005</v>
      </c>
      <c r="E758" s="28">
        <v>0.1</v>
      </c>
      <c r="F758" s="32">
        <f t="shared" si="155"/>
        <v>107.80770000000001</v>
      </c>
      <c r="G758" s="29" t="s">
        <v>65</v>
      </c>
      <c r="H758" s="29"/>
      <c r="I758" s="29"/>
      <c r="J758" s="33"/>
      <c r="K758" s="34">
        <f t="shared" si="156"/>
        <v>0</v>
      </c>
      <c r="L758" s="35"/>
    </row>
    <row r="759" spans="1:12" s="37" customFormat="1" x14ac:dyDescent="0.25">
      <c r="A759" s="30">
        <f>IF(F759&lt;&gt;"",1+MAX($A$7:A758),"")</f>
        <v>631</v>
      </c>
      <c r="B759" s="31"/>
      <c r="C759" s="50" t="s">
        <v>1029</v>
      </c>
      <c r="D759" s="46">
        <v>172.70419999999999</v>
      </c>
      <c r="E759" s="28">
        <v>0.1</v>
      </c>
      <c r="F759" s="32">
        <f t="shared" si="155"/>
        <v>189.97461999999999</v>
      </c>
      <c r="G759" s="29" t="s">
        <v>65</v>
      </c>
      <c r="H759" s="29"/>
      <c r="I759" s="29"/>
      <c r="J759" s="33"/>
      <c r="K759" s="34">
        <f t="shared" si="156"/>
        <v>0</v>
      </c>
      <c r="L759" s="35"/>
    </row>
    <row r="760" spans="1:12" s="37" customFormat="1" x14ac:dyDescent="0.25">
      <c r="A760" s="30">
        <f>IF(F760&lt;&gt;"",1+MAX($A$7:A759),"")</f>
        <v>632</v>
      </c>
      <c r="B760" s="31"/>
      <c r="C760" s="50" t="s">
        <v>985</v>
      </c>
      <c r="D760" s="46">
        <v>82.7</v>
      </c>
      <c r="E760" s="28">
        <v>0.1</v>
      </c>
      <c r="F760" s="32">
        <f t="shared" si="155"/>
        <v>90.970000000000013</v>
      </c>
      <c r="G760" s="29" t="s">
        <v>65</v>
      </c>
      <c r="H760" s="29"/>
      <c r="I760" s="29"/>
      <c r="J760" s="33"/>
      <c r="K760" s="34">
        <f t="shared" si="156"/>
        <v>0</v>
      </c>
      <c r="L760" s="35"/>
    </row>
    <row r="761" spans="1:12" s="37" customFormat="1" x14ac:dyDescent="0.25">
      <c r="A761" s="30">
        <f>IF(F761&lt;&gt;"",1+MAX($A$7:A760),"")</f>
        <v>633</v>
      </c>
      <c r="B761" s="31"/>
      <c r="C761" s="50" t="s">
        <v>891</v>
      </c>
      <c r="D761" s="46">
        <v>50.320900000000002</v>
      </c>
      <c r="E761" s="28">
        <v>0.1</v>
      </c>
      <c r="F761" s="32">
        <f t="shared" si="155"/>
        <v>55.352990000000005</v>
      </c>
      <c r="G761" s="29" t="s">
        <v>65</v>
      </c>
      <c r="H761" s="29"/>
      <c r="I761" s="29"/>
      <c r="J761" s="33"/>
      <c r="K761" s="34">
        <f t="shared" si="156"/>
        <v>0</v>
      </c>
      <c r="L761" s="35"/>
    </row>
    <row r="762" spans="1:12" s="37" customFormat="1" x14ac:dyDescent="0.25">
      <c r="A762" s="30">
        <f>IF(F762&lt;&gt;"",1+MAX($A$7:A761),"")</f>
        <v>634</v>
      </c>
      <c r="B762" s="31"/>
      <c r="C762" s="50" t="s">
        <v>986</v>
      </c>
      <c r="D762" s="46">
        <v>30.819199999999999</v>
      </c>
      <c r="E762" s="28">
        <v>0.1</v>
      </c>
      <c r="F762" s="32">
        <f t="shared" si="155"/>
        <v>33.901119999999999</v>
      </c>
      <c r="G762" s="29" t="s">
        <v>65</v>
      </c>
      <c r="H762" s="29"/>
      <c r="I762" s="29"/>
      <c r="J762" s="33"/>
      <c r="K762" s="34">
        <f t="shared" si="156"/>
        <v>0</v>
      </c>
      <c r="L762" s="35"/>
    </row>
    <row r="763" spans="1:12" s="37" customFormat="1" x14ac:dyDescent="0.25">
      <c r="A763" s="30">
        <f>IF(F763&lt;&gt;"",1+MAX($A$7:A762),"")</f>
        <v>635</v>
      </c>
      <c r="B763" s="31"/>
      <c r="C763" s="50" t="s">
        <v>1043</v>
      </c>
      <c r="D763" s="46">
        <v>132.18700000000001</v>
      </c>
      <c r="E763" s="28">
        <v>0.1</v>
      </c>
      <c r="F763" s="32">
        <f t="shared" si="155"/>
        <v>145.40570000000002</v>
      </c>
      <c r="G763" s="29" t="s">
        <v>65</v>
      </c>
      <c r="H763" s="29"/>
      <c r="I763" s="29"/>
      <c r="J763" s="33"/>
      <c r="K763" s="34">
        <f t="shared" si="156"/>
        <v>0</v>
      </c>
      <c r="L763" s="35"/>
    </row>
    <row r="764" spans="1:12" s="37" customFormat="1" x14ac:dyDescent="0.25">
      <c r="A764" s="30">
        <f>IF(F764&lt;&gt;"",1+MAX($A$7:A763),"")</f>
        <v>636</v>
      </c>
      <c r="B764" s="31"/>
      <c r="C764" s="50" t="s">
        <v>892</v>
      </c>
      <c r="D764" s="46">
        <v>26.153300000000002</v>
      </c>
      <c r="E764" s="28">
        <v>0.1</v>
      </c>
      <c r="F764" s="32">
        <f t="shared" si="155"/>
        <v>28.768630000000005</v>
      </c>
      <c r="G764" s="29" t="s">
        <v>65</v>
      </c>
      <c r="H764" s="29"/>
      <c r="I764" s="29"/>
      <c r="J764" s="33"/>
      <c r="K764" s="34">
        <f t="shared" si="156"/>
        <v>0</v>
      </c>
      <c r="L764" s="35"/>
    </row>
    <row r="765" spans="1:12" s="37" customFormat="1" x14ac:dyDescent="0.25">
      <c r="A765" s="30">
        <f>IF(F765&lt;&gt;"",1+MAX($A$7:A764),"")</f>
        <v>637</v>
      </c>
      <c r="B765" s="31"/>
      <c r="C765" s="50" t="s">
        <v>987</v>
      </c>
      <c r="D765" s="46">
        <v>41.946100000000001</v>
      </c>
      <c r="E765" s="28">
        <v>0.1</v>
      </c>
      <c r="F765" s="32">
        <f t="shared" si="155"/>
        <v>46.140710000000006</v>
      </c>
      <c r="G765" s="29" t="s">
        <v>65</v>
      </c>
      <c r="H765" s="29"/>
      <c r="I765" s="29"/>
      <c r="J765" s="33"/>
      <c r="K765" s="34">
        <f t="shared" si="156"/>
        <v>0</v>
      </c>
      <c r="L765" s="35"/>
    </row>
    <row r="766" spans="1:12" s="37" customFormat="1" x14ac:dyDescent="0.25">
      <c r="A766" s="30">
        <f>IF(F766&lt;&gt;"",1+MAX($A$7:A765),"")</f>
        <v>638</v>
      </c>
      <c r="B766" s="31"/>
      <c r="C766" s="50" t="s">
        <v>988</v>
      </c>
      <c r="D766" s="46">
        <v>146.63749999999999</v>
      </c>
      <c r="E766" s="28">
        <v>0.1</v>
      </c>
      <c r="F766" s="32">
        <f t="shared" si="155"/>
        <v>161.30125000000001</v>
      </c>
      <c r="G766" s="29" t="s">
        <v>65</v>
      </c>
      <c r="H766" s="29"/>
      <c r="I766" s="29"/>
      <c r="J766" s="33"/>
      <c r="K766" s="34">
        <f t="shared" si="156"/>
        <v>0</v>
      </c>
      <c r="L766" s="35"/>
    </row>
    <row r="767" spans="1:12" s="37" customFormat="1" x14ac:dyDescent="0.25">
      <c r="A767" s="30">
        <f>IF(F767&lt;&gt;"",1+MAX($A$7:A766),"")</f>
        <v>639</v>
      </c>
      <c r="B767" s="31"/>
      <c r="C767" s="50" t="s">
        <v>1061</v>
      </c>
      <c r="D767" s="46">
        <v>345.30439999999999</v>
      </c>
      <c r="E767" s="28">
        <v>0.1</v>
      </c>
      <c r="F767" s="32">
        <f t="shared" si="155"/>
        <v>379.83484000000004</v>
      </c>
      <c r="G767" s="29" t="s">
        <v>65</v>
      </c>
      <c r="H767" s="29"/>
      <c r="I767" s="29"/>
      <c r="J767" s="33"/>
      <c r="K767" s="34">
        <f t="shared" si="156"/>
        <v>0</v>
      </c>
      <c r="L767" s="35"/>
    </row>
    <row r="768" spans="1:12" s="37" customFormat="1" x14ac:dyDescent="0.25">
      <c r="A768" s="30">
        <f>IF(F768&lt;&gt;"",1+MAX($A$7:A767),"")</f>
        <v>640</v>
      </c>
      <c r="B768" s="31"/>
      <c r="C768" s="50" t="s">
        <v>962</v>
      </c>
      <c r="D768" s="46">
        <v>149.8184</v>
      </c>
      <c r="E768" s="28">
        <v>0.1</v>
      </c>
      <c r="F768" s="32">
        <f t="shared" si="155"/>
        <v>164.80024</v>
      </c>
      <c r="G768" s="29" t="s">
        <v>65</v>
      </c>
      <c r="H768" s="29"/>
      <c r="I768" s="29"/>
      <c r="J768" s="33"/>
      <c r="K768" s="34">
        <f t="shared" si="156"/>
        <v>0</v>
      </c>
      <c r="L768" s="35"/>
    </row>
    <row r="769" spans="1:12" s="37" customFormat="1" x14ac:dyDescent="0.25">
      <c r="A769" s="30">
        <f>IF(F769&lt;&gt;"",1+MAX($A$7:A768),"")</f>
        <v>641</v>
      </c>
      <c r="B769" s="31"/>
      <c r="C769" s="50" t="s">
        <v>893</v>
      </c>
      <c r="D769" s="46">
        <v>24.294</v>
      </c>
      <c r="E769" s="28">
        <v>0.1</v>
      </c>
      <c r="F769" s="32">
        <f t="shared" si="155"/>
        <v>26.723400000000002</v>
      </c>
      <c r="G769" s="29" t="s">
        <v>65</v>
      </c>
      <c r="H769" s="29"/>
      <c r="I769" s="29"/>
      <c r="J769" s="33"/>
      <c r="K769" s="34">
        <f t="shared" si="156"/>
        <v>0</v>
      </c>
      <c r="L769" s="35"/>
    </row>
    <row r="770" spans="1:12" s="37" customFormat="1" x14ac:dyDescent="0.25">
      <c r="A770" s="30">
        <f>IF(F770&lt;&gt;"",1+MAX($A$7:A769),"")</f>
        <v>642</v>
      </c>
      <c r="B770" s="31"/>
      <c r="C770" s="50" t="s">
        <v>1030</v>
      </c>
      <c r="D770" s="46">
        <v>122.0722</v>
      </c>
      <c r="E770" s="28">
        <v>0.1</v>
      </c>
      <c r="F770" s="32">
        <f t="shared" si="155"/>
        <v>134.27942000000002</v>
      </c>
      <c r="G770" s="29" t="s">
        <v>65</v>
      </c>
      <c r="H770" s="29"/>
      <c r="I770" s="29"/>
      <c r="J770" s="33"/>
      <c r="K770" s="34">
        <f t="shared" si="156"/>
        <v>0</v>
      </c>
      <c r="L770" s="35"/>
    </row>
    <row r="771" spans="1:12" s="37" customFormat="1" x14ac:dyDescent="0.25">
      <c r="A771" s="30">
        <f>IF(F771&lt;&gt;"",1+MAX($A$7:A770),"")</f>
        <v>643</v>
      </c>
      <c r="B771" s="31"/>
      <c r="C771" s="50" t="s">
        <v>1031</v>
      </c>
      <c r="D771" s="46">
        <v>88.658900000000003</v>
      </c>
      <c r="E771" s="28">
        <v>0.1</v>
      </c>
      <c r="F771" s="32">
        <f t="shared" si="155"/>
        <v>97.52479000000001</v>
      </c>
      <c r="G771" s="29" t="s">
        <v>65</v>
      </c>
      <c r="H771" s="29"/>
      <c r="I771" s="29"/>
      <c r="J771" s="33"/>
      <c r="K771" s="34">
        <f t="shared" si="156"/>
        <v>0</v>
      </c>
      <c r="L771" s="35"/>
    </row>
    <row r="772" spans="1:12" s="37" customFormat="1" x14ac:dyDescent="0.25">
      <c r="A772" s="30">
        <f>IF(F772&lt;&gt;"",1+MAX($A$7:A771),"")</f>
        <v>644</v>
      </c>
      <c r="B772" s="31"/>
      <c r="C772" s="50" t="s">
        <v>894</v>
      </c>
      <c r="D772" s="46">
        <v>53.166800000000002</v>
      </c>
      <c r="E772" s="28">
        <v>0.1</v>
      </c>
      <c r="F772" s="32">
        <f t="shared" si="155"/>
        <v>58.483480000000007</v>
      </c>
      <c r="G772" s="29" t="s">
        <v>65</v>
      </c>
      <c r="H772" s="29"/>
      <c r="I772" s="29"/>
      <c r="J772" s="33"/>
      <c r="K772" s="34">
        <f t="shared" si="156"/>
        <v>0</v>
      </c>
      <c r="L772" s="35"/>
    </row>
    <row r="773" spans="1:12" s="37" customFormat="1" x14ac:dyDescent="0.25">
      <c r="A773" s="30">
        <f>IF(F773&lt;&gt;"",1+MAX($A$7:A772),"")</f>
        <v>645</v>
      </c>
      <c r="B773" s="31"/>
      <c r="C773" s="50" t="s">
        <v>772</v>
      </c>
      <c r="D773" s="46">
        <v>18.293299999999999</v>
      </c>
      <c r="E773" s="28">
        <v>0.1</v>
      </c>
      <c r="F773" s="32">
        <f t="shared" si="155"/>
        <v>20.122630000000001</v>
      </c>
      <c r="G773" s="29" t="s">
        <v>65</v>
      </c>
      <c r="H773" s="29"/>
      <c r="I773" s="29"/>
      <c r="J773" s="33"/>
      <c r="K773" s="34">
        <f t="shared" si="156"/>
        <v>0</v>
      </c>
      <c r="L773" s="35"/>
    </row>
    <row r="774" spans="1:12" s="37" customFormat="1" x14ac:dyDescent="0.25">
      <c r="A774" s="30">
        <f>IF(F774&lt;&gt;"",1+MAX($A$7:A773),"")</f>
        <v>646</v>
      </c>
      <c r="B774" s="31"/>
      <c r="C774" s="50" t="s">
        <v>963</v>
      </c>
      <c r="D774" s="46">
        <v>11.9434</v>
      </c>
      <c r="E774" s="28">
        <v>0.1</v>
      </c>
      <c r="F774" s="32">
        <f t="shared" si="155"/>
        <v>13.137740000000001</v>
      </c>
      <c r="G774" s="29" t="s">
        <v>65</v>
      </c>
      <c r="H774" s="29"/>
      <c r="I774" s="29"/>
      <c r="J774" s="33"/>
      <c r="K774" s="34">
        <f t="shared" si="156"/>
        <v>0</v>
      </c>
      <c r="L774" s="35"/>
    </row>
    <row r="775" spans="1:12" s="37" customFormat="1" x14ac:dyDescent="0.25">
      <c r="A775" s="30">
        <f>IF(F775&lt;&gt;"",1+MAX($A$7:A774),"")</f>
        <v>647</v>
      </c>
      <c r="B775" s="31"/>
      <c r="C775" s="50" t="s">
        <v>1048</v>
      </c>
      <c r="D775" s="46">
        <v>130.89070000000001</v>
      </c>
      <c r="E775" s="28">
        <v>0.1</v>
      </c>
      <c r="F775" s="32">
        <f t="shared" si="155"/>
        <v>143.97977000000003</v>
      </c>
      <c r="G775" s="29" t="s">
        <v>65</v>
      </c>
      <c r="H775" s="29"/>
      <c r="I775" s="29"/>
      <c r="J775" s="33"/>
      <c r="K775" s="34">
        <f t="shared" si="156"/>
        <v>0</v>
      </c>
      <c r="L775" s="35"/>
    </row>
    <row r="776" spans="1:12" s="37" customFormat="1" x14ac:dyDescent="0.25">
      <c r="A776" s="30">
        <f>IF(F776&lt;&gt;"",1+MAX($A$7:A775),"")</f>
        <v>648</v>
      </c>
      <c r="B776" s="31"/>
      <c r="C776" s="50" t="s">
        <v>895</v>
      </c>
      <c r="D776" s="46">
        <v>48.072699999999998</v>
      </c>
      <c r="E776" s="28">
        <v>0.1</v>
      </c>
      <c r="F776" s="32">
        <f t="shared" si="155"/>
        <v>52.87997</v>
      </c>
      <c r="G776" s="29" t="s">
        <v>65</v>
      </c>
      <c r="H776" s="29"/>
      <c r="I776" s="29"/>
      <c r="J776" s="33"/>
      <c r="K776" s="34">
        <f t="shared" si="156"/>
        <v>0</v>
      </c>
      <c r="L776" s="35"/>
    </row>
    <row r="777" spans="1:12" s="37" customFormat="1" x14ac:dyDescent="0.25">
      <c r="A777" s="30">
        <f>IF(F777&lt;&gt;"",1+MAX($A$7:A776),"")</f>
        <v>649</v>
      </c>
      <c r="B777" s="31"/>
      <c r="C777" s="50" t="s">
        <v>964</v>
      </c>
      <c r="D777" s="46">
        <v>75.778899999999993</v>
      </c>
      <c r="E777" s="28">
        <v>0.1</v>
      </c>
      <c r="F777" s="32">
        <f t="shared" si="155"/>
        <v>83.356790000000004</v>
      </c>
      <c r="G777" s="29" t="s">
        <v>65</v>
      </c>
      <c r="H777" s="29"/>
      <c r="I777" s="29"/>
      <c r="J777" s="33"/>
      <c r="K777" s="34">
        <f t="shared" si="156"/>
        <v>0</v>
      </c>
      <c r="L777" s="35"/>
    </row>
    <row r="778" spans="1:12" s="37" customFormat="1" x14ac:dyDescent="0.25">
      <c r="A778" s="30">
        <f>IF(F778&lt;&gt;"",1+MAX($A$7:A777),"")</f>
        <v>650</v>
      </c>
      <c r="B778" s="31"/>
      <c r="C778" s="50" t="s">
        <v>773</v>
      </c>
      <c r="D778" s="46">
        <v>19.261500000000002</v>
      </c>
      <c r="E778" s="28">
        <v>0.1</v>
      </c>
      <c r="F778" s="32">
        <f t="shared" si="155"/>
        <v>21.187650000000005</v>
      </c>
      <c r="G778" s="29" t="s">
        <v>65</v>
      </c>
      <c r="H778" s="29"/>
      <c r="I778" s="29"/>
      <c r="J778" s="33"/>
      <c r="K778" s="34">
        <f t="shared" si="156"/>
        <v>0</v>
      </c>
      <c r="L778" s="35"/>
    </row>
    <row r="779" spans="1:12" s="37" customFormat="1" x14ac:dyDescent="0.25">
      <c r="A779" s="30">
        <f>IF(F779&lt;&gt;"",1+MAX($A$7:A778),"")</f>
        <v>651</v>
      </c>
      <c r="B779" s="31"/>
      <c r="C779" s="50" t="s">
        <v>774</v>
      </c>
      <c r="D779" s="46">
        <v>17.317</v>
      </c>
      <c r="E779" s="28">
        <v>0.1</v>
      </c>
      <c r="F779" s="32">
        <f t="shared" si="155"/>
        <v>19.0487</v>
      </c>
      <c r="G779" s="29" t="s">
        <v>65</v>
      </c>
      <c r="H779" s="29"/>
      <c r="I779" s="29"/>
      <c r="J779" s="33"/>
      <c r="K779" s="34">
        <f t="shared" si="156"/>
        <v>0</v>
      </c>
      <c r="L779" s="35"/>
    </row>
    <row r="780" spans="1:12" s="37" customFormat="1" x14ac:dyDescent="0.25">
      <c r="A780" s="30">
        <f>IF(F780&lt;&gt;"",1+MAX($A$7:A779),"")</f>
        <v>652</v>
      </c>
      <c r="B780" s="31"/>
      <c r="C780" s="50" t="s">
        <v>965</v>
      </c>
      <c r="D780" s="46">
        <v>141.3458</v>
      </c>
      <c r="E780" s="28">
        <v>0.1</v>
      </c>
      <c r="F780" s="32">
        <f t="shared" si="155"/>
        <v>155.48038</v>
      </c>
      <c r="G780" s="29" t="s">
        <v>65</v>
      </c>
      <c r="H780" s="29"/>
      <c r="I780" s="29"/>
      <c r="J780" s="33"/>
      <c r="K780" s="34">
        <f t="shared" si="156"/>
        <v>0</v>
      </c>
      <c r="L780" s="35"/>
    </row>
    <row r="781" spans="1:12" s="37" customFormat="1" x14ac:dyDescent="0.25">
      <c r="A781" s="30">
        <f>IF(F781&lt;&gt;"",1+MAX($A$7:A780),"")</f>
        <v>653</v>
      </c>
      <c r="B781" s="31"/>
      <c r="C781" s="50" t="s">
        <v>896</v>
      </c>
      <c r="D781" s="46">
        <v>14.4992</v>
      </c>
      <c r="E781" s="28">
        <v>0.1</v>
      </c>
      <c r="F781" s="32">
        <f t="shared" si="155"/>
        <v>15.949120000000001</v>
      </c>
      <c r="G781" s="29" t="s">
        <v>65</v>
      </c>
      <c r="H781" s="29"/>
      <c r="I781" s="29"/>
      <c r="J781" s="33"/>
      <c r="K781" s="34">
        <f t="shared" si="156"/>
        <v>0</v>
      </c>
      <c r="L781" s="35"/>
    </row>
    <row r="782" spans="1:12" s="37" customFormat="1" x14ac:dyDescent="0.25">
      <c r="A782" s="30">
        <f>IF(F782&lt;&gt;"",1+MAX($A$7:A781),"")</f>
        <v>654</v>
      </c>
      <c r="B782" s="31"/>
      <c r="C782" s="50" t="s">
        <v>989</v>
      </c>
      <c r="D782" s="46">
        <v>124.8783</v>
      </c>
      <c r="E782" s="28">
        <v>0.1</v>
      </c>
      <c r="F782" s="32">
        <f t="shared" si="155"/>
        <v>137.36613</v>
      </c>
      <c r="G782" s="29" t="s">
        <v>65</v>
      </c>
      <c r="H782" s="29"/>
      <c r="I782" s="29"/>
      <c r="J782" s="33"/>
      <c r="K782" s="34">
        <f t="shared" si="156"/>
        <v>0</v>
      </c>
      <c r="L782" s="35"/>
    </row>
    <row r="783" spans="1:12" s="37" customFormat="1" x14ac:dyDescent="0.25">
      <c r="A783" s="30">
        <f>IF(F783&lt;&gt;"",1+MAX($A$7:A782),"")</f>
        <v>655</v>
      </c>
      <c r="B783" s="31"/>
      <c r="C783" s="50" t="s">
        <v>897</v>
      </c>
      <c r="D783" s="46">
        <v>97.741</v>
      </c>
      <c r="E783" s="28">
        <v>0.1</v>
      </c>
      <c r="F783" s="32">
        <f t="shared" si="155"/>
        <v>107.5151</v>
      </c>
      <c r="G783" s="29" t="s">
        <v>65</v>
      </c>
      <c r="H783" s="29"/>
      <c r="I783" s="29"/>
      <c r="J783" s="33"/>
      <c r="K783" s="34">
        <f t="shared" si="156"/>
        <v>0</v>
      </c>
      <c r="L783" s="35"/>
    </row>
    <row r="784" spans="1:12" s="37" customFormat="1" x14ac:dyDescent="0.25">
      <c r="A784" s="30">
        <f>IF(F784&lt;&gt;"",1+MAX($A$7:A783),"")</f>
        <v>656</v>
      </c>
      <c r="B784" s="31"/>
      <c r="C784" s="50" t="s">
        <v>775</v>
      </c>
      <c r="D784" s="46">
        <v>20</v>
      </c>
      <c r="E784" s="28">
        <v>0.1</v>
      </c>
      <c r="F784" s="32">
        <f t="shared" si="155"/>
        <v>22</v>
      </c>
      <c r="G784" s="29" t="s">
        <v>65</v>
      </c>
      <c r="H784" s="29"/>
      <c r="I784" s="29"/>
      <c r="J784" s="33"/>
      <c r="K784" s="34">
        <f t="shared" si="156"/>
        <v>0</v>
      </c>
      <c r="L784" s="35"/>
    </row>
    <row r="785" spans="1:12" s="37" customFormat="1" x14ac:dyDescent="0.25">
      <c r="A785" s="30">
        <f>IF(F785&lt;&gt;"",1+MAX($A$7:A784),"")</f>
        <v>657</v>
      </c>
      <c r="B785" s="31"/>
      <c r="C785" s="50" t="s">
        <v>776</v>
      </c>
      <c r="D785" s="46">
        <v>43.706699999999998</v>
      </c>
      <c r="E785" s="28">
        <v>0.1</v>
      </c>
      <c r="F785" s="32">
        <f t="shared" si="155"/>
        <v>48.077370000000002</v>
      </c>
      <c r="G785" s="29" t="s">
        <v>65</v>
      </c>
      <c r="H785" s="29"/>
      <c r="I785" s="29"/>
      <c r="J785" s="33"/>
      <c r="K785" s="34">
        <f t="shared" si="156"/>
        <v>0</v>
      </c>
      <c r="L785" s="35"/>
    </row>
    <row r="786" spans="1:12" s="37" customFormat="1" x14ac:dyDescent="0.25">
      <c r="A786" s="30">
        <f>IF(F786&lt;&gt;"",1+MAX($A$7:A785),"")</f>
        <v>658</v>
      </c>
      <c r="B786" s="31"/>
      <c r="C786" s="50" t="s">
        <v>898</v>
      </c>
      <c r="D786" s="46">
        <v>31.846</v>
      </c>
      <c r="E786" s="28">
        <v>0.1</v>
      </c>
      <c r="F786" s="32">
        <f t="shared" si="155"/>
        <v>35.0306</v>
      </c>
      <c r="G786" s="29" t="s">
        <v>65</v>
      </c>
      <c r="H786" s="29"/>
      <c r="I786" s="29"/>
      <c r="J786" s="33"/>
      <c r="K786" s="34">
        <f t="shared" si="156"/>
        <v>0</v>
      </c>
      <c r="L786" s="35"/>
    </row>
    <row r="787" spans="1:12" s="37" customFormat="1" x14ac:dyDescent="0.25">
      <c r="A787" s="30">
        <f>IF(F787&lt;&gt;"",1+MAX($A$7:A786),"")</f>
        <v>659</v>
      </c>
      <c r="B787" s="31"/>
      <c r="C787" s="50" t="s">
        <v>777</v>
      </c>
      <c r="D787" s="46">
        <v>26.696999999999999</v>
      </c>
      <c r="E787" s="28">
        <v>0.1</v>
      </c>
      <c r="F787" s="32">
        <f t="shared" si="155"/>
        <v>29.366700000000002</v>
      </c>
      <c r="G787" s="29" t="s">
        <v>65</v>
      </c>
      <c r="H787" s="29"/>
      <c r="I787" s="29"/>
      <c r="J787" s="33"/>
      <c r="K787" s="34">
        <f t="shared" si="156"/>
        <v>0</v>
      </c>
      <c r="L787" s="35"/>
    </row>
    <row r="788" spans="1:12" s="37" customFormat="1" x14ac:dyDescent="0.25">
      <c r="A788" s="30">
        <f>IF(F788&lt;&gt;"",1+MAX($A$7:A787),"")</f>
        <v>660</v>
      </c>
      <c r="B788" s="31"/>
      <c r="C788" s="50" t="s">
        <v>899</v>
      </c>
      <c r="D788" s="46">
        <v>122.56</v>
      </c>
      <c r="E788" s="28">
        <v>0.1</v>
      </c>
      <c r="F788" s="32">
        <f t="shared" si="155"/>
        <v>134.816</v>
      </c>
      <c r="G788" s="29" t="s">
        <v>65</v>
      </c>
      <c r="H788" s="29"/>
      <c r="I788" s="29"/>
      <c r="J788" s="33"/>
      <c r="K788" s="34">
        <f t="shared" si="156"/>
        <v>0</v>
      </c>
      <c r="L788" s="35"/>
    </row>
    <row r="789" spans="1:12" s="37" customFormat="1" x14ac:dyDescent="0.25">
      <c r="A789" s="30">
        <f>IF(F789&lt;&gt;"",1+MAX($A$7:A788),"")</f>
        <v>661</v>
      </c>
      <c r="B789" s="31"/>
      <c r="C789" s="50" t="s">
        <v>1018</v>
      </c>
      <c r="D789" s="46">
        <v>72.041899999999998</v>
      </c>
      <c r="E789" s="28">
        <v>0.1</v>
      </c>
      <c r="F789" s="32">
        <f t="shared" si="155"/>
        <v>79.246090000000009</v>
      </c>
      <c r="G789" s="29" t="s">
        <v>65</v>
      </c>
      <c r="H789" s="29"/>
      <c r="I789" s="29"/>
      <c r="J789" s="33"/>
      <c r="K789" s="34">
        <f t="shared" si="156"/>
        <v>0</v>
      </c>
      <c r="L789" s="35"/>
    </row>
    <row r="790" spans="1:12" s="37" customFormat="1" x14ac:dyDescent="0.25">
      <c r="A790" s="30">
        <f>IF(F790&lt;&gt;"",1+MAX($A$7:A789),"")</f>
        <v>662</v>
      </c>
      <c r="B790" s="31"/>
      <c r="C790" s="50" t="s">
        <v>900</v>
      </c>
      <c r="D790" s="46">
        <v>63</v>
      </c>
      <c r="E790" s="28">
        <v>0.1</v>
      </c>
      <c r="F790" s="32">
        <f t="shared" si="155"/>
        <v>69.300000000000011</v>
      </c>
      <c r="G790" s="29" t="s">
        <v>65</v>
      </c>
      <c r="H790" s="29"/>
      <c r="I790" s="29"/>
      <c r="J790" s="33"/>
      <c r="K790" s="34">
        <f t="shared" si="156"/>
        <v>0</v>
      </c>
      <c r="L790" s="35"/>
    </row>
    <row r="791" spans="1:12" s="37" customFormat="1" x14ac:dyDescent="0.25">
      <c r="A791" s="30">
        <f>IF(F791&lt;&gt;"",1+MAX($A$7:A790),"")</f>
        <v>663</v>
      </c>
      <c r="B791" s="31"/>
      <c r="C791" s="50" t="s">
        <v>1019</v>
      </c>
      <c r="D791" s="46">
        <v>115.7923</v>
      </c>
      <c r="E791" s="28">
        <v>0.1</v>
      </c>
      <c r="F791" s="32">
        <f t="shared" si="155"/>
        <v>127.37153000000001</v>
      </c>
      <c r="G791" s="29" t="s">
        <v>65</v>
      </c>
      <c r="H791" s="29"/>
      <c r="I791" s="29"/>
      <c r="J791" s="33"/>
      <c r="K791" s="34">
        <f t="shared" si="156"/>
        <v>0</v>
      </c>
      <c r="L791" s="35"/>
    </row>
    <row r="792" spans="1:12" s="37" customFormat="1" x14ac:dyDescent="0.25">
      <c r="A792" s="30">
        <f>IF(F792&lt;&gt;"",1+MAX($A$7:A791),"")</f>
        <v>664</v>
      </c>
      <c r="B792" s="31"/>
      <c r="C792" s="50" t="s">
        <v>778</v>
      </c>
      <c r="D792" s="46">
        <v>57.7333</v>
      </c>
      <c r="E792" s="28">
        <v>0.1</v>
      </c>
      <c r="F792" s="32">
        <f t="shared" si="155"/>
        <v>63.506630000000008</v>
      </c>
      <c r="G792" s="29" t="s">
        <v>65</v>
      </c>
      <c r="H792" s="29"/>
      <c r="I792" s="29"/>
      <c r="J792" s="33"/>
      <c r="K792" s="34">
        <f t="shared" si="156"/>
        <v>0</v>
      </c>
      <c r="L792" s="35"/>
    </row>
    <row r="793" spans="1:12" s="37" customFormat="1" x14ac:dyDescent="0.25">
      <c r="A793" s="30">
        <f>IF(F793&lt;&gt;"",1+MAX($A$7:A792),"")</f>
        <v>665</v>
      </c>
      <c r="B793" s="31"/>
      <c r="C793" s="50" t="s">
        <v>990</v>
      </c>
      <c r="D793" s="46">
        <v>77.8</v>
      </c>
      <c r="E793" s="28">
        <v>0.1</v>
      </c>
      <c r="F793" s="32">
        <f t="shared" si="155"/>
        <v>85.58</v>
      </c>
      <c r="G793" s="29" t="s">
        <v>65</v>
      </c>
      <c r="H793" s="29"/>
      <c r="I793" s="29"/>
      <c r="J793" s="33"/>
      <c r="K793" s="34">
        <f t="shared" si="156"/>
        <v>0</v>
      </c>
      <c r="L793" s="35"/>
    </row>
    <row r="794" spans="1:12" s="37" customFormat="1" x14ac:dyDescent="0.25">
      <c r="A794" s="30">
        <f>IF(F794&lt;&gt;"",1+MAX($A$7:A793),"")</f>
        <v>666</v>
      </c>
      <c r="B794" s="31"/>
      <c r="C794" s="50" t="s">
        <v>779</v>
      </c>
      <c r="D794" s="46">
        <v>18.7241</v>
      </c>
      <c r="E794" s="28">
        <v>0.1</v>
      </c>
      <c r="F794" s="32">
        <f t="shared" si="155"/>
        <v>20.596510000000002</v>
      </c>
      <c r="G794" s="29" t="s">
        <v>65</v>
      </c>
      <c r="H794" s="29"/>
      <c r="I794" s="29"/>
      <c r="J794" s="33"/>
      <c r="K794" s="34">
        <f t="shared" si="156"/>
        <v>0</v>
      </c>
      <c r="L794" s="35"/>
    </row>
    <row r="795" spans="1:12" s="37" customFormat="1" x14ac:dyDescent="0.25">
      <c r="A795" s="30">
        <f>IF(F795&lt;&gt;"",1+MAX($A$7:A794),"")</f>
        <v>667</v>
      </c>
      <c r="B795" s="31"/>
      <c r="C795" s="50" t="s">
        <v>780</v>
      </c>
      <c r="D795" s="46">
        <v>22.270499999999998</v>
      </c>
      <c r="E795" s="28">
        <v>0.1</v>
      </c>
      <c r="F795" s="32">
        <f t="shared" si="155"/>
        <v>24.49755</v>
      </c>
      <c r="G795" s="29" t="s">
        <v>65</v>
      </c>
      <c r="H795" s="29"/>
      <c r="I795" s="29"/>
      <c r="J795" s="33"/>
      <c r="K795" s="34">
        <f t="shared" si="156"/>
        <v>0</v>
      </c>
      <c r="L795" s="35"/>
    </row>
    <row r="796" spans="1:12" s="37" customFormat="1" x14ac:dyDescent="0.25">
      <c r="A796" s="30">
        <f>IF(F796&lt;&gt;"",1+MAX($A$7:A795),"")</f>
        <v>668</v>
      </c>
      <c r="B796" s="31"/>
      <c r="C796" s="50" t="s">
        <v>781</v>
      </c>
      <c r="D796" s="46">
        <v>24.167000000000002</v>
      </c>
      <c r="E796" s="28">
        <v>0.1</v>
      </c>
      <c r="F796" s="32">
        <f t="shared" si="155"/>
        <v>26.583700000000004</v>
      </c>
      <c r="G796" s="29" t="s">
        <v>65</v>
      </c>
      <c r="H796" s="29"/>
      <c r="I796" s="29"/>
      <c r="J796" s="33"/>
      <c r="K796" s="34">
        <f t="shared" si="156"/>
        <v>0</v>
      </c>
      <c r="L796" s="35"/>
    </row>
    <row r="797" spans="1:12" s="37" customFormat="1" x14ac:dyDescent="0.25">
      <c r="A797" s="30">
        <f>IF(F797&lt;&gt;"",1+MAX($A$7:A796),"")</f>
        <v>669</v>
      </c>
      <c r="B797" s="31"/>
      <c r="C797" s="50" t="s">
        <v>782</v>
      </c>
      <c r="D797" s="46">
        <v>9.0137999999999998</v>
      </c>
      <c r="E797" s="28">
        <v>0.1</v>
      </c>
      <c r="F797" s="32">
        <f t="shared" si="155"/>
        <v>9.9151800000000012</v>
      </c>
      <c r="G797" s="29" t="s">
        <v>65</v>
      </c>
      <c r="H797" s="29"/>
      <c r="I797" s="29"/>
      <c r="J797" s="33"/>
      <c r="K797" s="34">
        <f t="shared" si="156"/>
        <v>0</v>
      </c>
      <c r="L797" s="35"/>
    </row>
    <row r="798" spans="1:12" s="37" customFormat="1" x14ac:dyDescent="0.25">
      <c r="A798" s="30">
        <f>IF(F798&lt;&gt;"",1+MAX($A$7:A797),"")</f>
        <v>670</v>
      </c>
      <c r="B798" s="31"/>
      <c r="C798" s="50" t="s">
        <v>901</v>
      </c>
      <c r="D798" s="46">
        <v>19</v>
      </c>
      <c r="E798" s="28">
        <v>0.1</v>
      </c>
      <c r="F798" s="32">
        <f t="shared" si="155"/>
        <v>20.900000000000002</v>
      </c>
      <c r="G798" s="29" t="s">
        <v>65</v>
      </c>
      <c r="H798" s="29"/>
      <c r="I798" s="29"/>
      <c r="J798" s="33"/>
      <c r="K798" s="34">
        <f t="shared" si="156"/>
        <v>0</v>
      </c>
      <c r="L798" s="35"/>
    </row>
    <row r="799" spans="1:12" s="37" customFormat="1" x14ac:dyDescent="0.25">
      <c r="A799" s="30">
        <f>IF(F799&lt;&gt;"",1+MAX($A$7:A798),"")</f>
        <v>671</v>
      </c>
      <c r="B799" s="31"/>
      <c r="C799" s="50" t="s">
        <v>783</v>
      </c>
      <c r="D799" s="46">
        <v>7.8467000000000002</v>
      </c>
      <c r="E799" s="28">
        <v>0.1</v>
      </c>
      <c r="F799" s="32">
        <f t="shared" si="155"/>
        <v>8.6313700000000004</v>
      </c>
      <c r="G799" s="29" t="s">
        <v>65</v>
      </c>
      <c r="H799" s="29"/>
      <c r="I799" s="29"/>
      <c r="J799" s="33"/>
      <c r="K799" s="34">
        <f t="shared" si="156"/>
        <v>0</v>
      </c>
      <c r="L799" s="35"/>
    </row>
    <row r="800" spans="1:12" s="37" customFormat="1" x14ac:dyDescent="0.25">
      <c r="A800" s="30">
        <f>IF(F800&lt;&gt;"",1+MAX($A$7:A799),"")</f>
        <v>672</v>
      </c>
      <c r="B800" s="31"/>
      <c r="C800" s="50" t="s">
        <v>784</v>
      </c>
      <c r="D800" s="46">
        <v>9.0747999999999998</v>
      </c>
      <c r="E800" s="28">
        <v>0.1</v>
      </c>
      <c r="F800" s="32">
        <f t="shared" si="155"/>
        <v>9.9822800000000012</v>
      </c>
      <c r="G800" s="29" t="s">
        <v>65</v>
      </c>
      <c r="H800" s="29"/>
      <c r="I800" s="29"/>
      <c r="J800" s="33"/>
      <c r="K800" s="34">
        <f t="shared" si="156"/>
        <v>0</v>
      </c>
      <c r="L800" s="35"/>
    </row>
    <row r="801" spans="1:12" s="37" customFormat="1" x14ac:dyDescent="0.25">
      <c r="A801" s="30">
        <f>IF(F801&lt;&gt;"",1+MAX($A$7:A800),"")</f>
        <v>673</v>
      </c>
      <c r="B801" s="31"/>
      <c r="C801" s="50" t="s">
        <v>902</v>
      </c>
      <c r="D801" s="46">
        <v>44.7</v>
      </c>
      <c r="E801" s="28">
        <v>0.1</v>
      </c>
      <c r="F801" s="32">
        <f t="shared" si="155"/>
        <v>49.170000000000009</v>
      </c>
      <c r="G801" s="29" t="s">
        <v>65</v>
      </c>
      <c r="H801" s="29"/>
      <c r="I801" s="29"/>
      <c r="J801" s="33"/>
      <c r="K801" s="34">
        <f t="shared" si="156"/>
        <v>0</v>
      </c>
      <c r="L801" s="35"/>
    </row>
    <row r="802" spans="1:12" s="37" customFormat="1" x14ac:dyDescent="0.25">
      <c r="A802" s="30">
        <f>IF(F802&lt;&gt;"",1+MAX($A$7:A801),"")</f>
        <v>674</v>
      </c>
      <c r="B802" s="31"/>
      <c r="C802" s="50" t="s">
        <v>785</v>
      </c>
      <c r="D802" s="46">
        <v>6.26</v>
      </c>
      <c r="E802" s="28">
        <v>0.1</v>
      </c>
      <c r="F802" s="32">
        <f t="shared" si="155"/>
        <v>6.8860000000000001</v>
      </c>
      <c r="G802" s="29" t="s">
        <v>65</v>
      </c>
      <c r="H802" s="29"/>
      <c r="I802" s="29"/>
      <c r="J802" s="33"/>
      <c r="K802" s="34">
        <f t="shared" si="156"/>
        <v>0</v>
      </c>
      <c r="L802" s="35"/>
    </row>
    <row r="803" spans="1:12" s="37" customFormat="1" x14ac:dyDescent="0.25">
      <c r="A803" s="30">
        <f>IF(F803&lt;&gt;"",1+MAX($A$7:A802),"")</f>
        <v>675</v>
      </c>
      <c r="B803" s="31"/>
      <c r="C803" s="50" t="s">
        <v>786</v>
      </c>
      <c r="D803" s="46">
        <v>9.7733000000000008</v>
      </c>
      <c r="E803" s="28">
        <v>0.1</v>
      </c>
      <c r="F803" s="32">
        <f t="shared" si="155"/>
        <v>10.750630000000001</v>
      </c>
      <c r="G803" s="29" t="s">
        <v>65</v>
      </c>
      <c r="H803" s="29"/>
      <c r="I803" s="29"/>
      <c r="J803" s="33"/>
      <c r="K803" s="34">
        <f t="shared" si="156"/>
        <v>0</v>
      </c>
      <c r="L803" s="35"/>
    </row>
    <row r="804" spans="1:12" s="37" customFormat="1" x14ac:dyDescent="0.25">
      <c r="A804" s="30">
        <f>IF(F804&lt;&gt;"",1+MAX($A$7:A803),"")</f>
        <v>676</v>
      </c>
      <c r="B804" s="31"/>
      <c r="C804" s="50" t="s">
        <v>1020</v>
      </c>
      <c r="D804" s="46">
        <v>34.850299999999997</v>
      </c>
      <c r="E804" s="28">
        <v>0.1</v>
      </c>
      <c r="F804" s="32">
        <f t="shared" si="155"/>
        <v>38.335329999999999</v>
      </c>
      <c r="G804" s="29" t="s">
        <v>65</v>
      </c>
      <c r="H804" s="29"/>
      <c r="I804" s="29"/>
      <c r="J804" s="33"/>
      <c r="K804" s="34">
        <f t="shared" si="156"/>
        <v>0</v>
      </c>
      <c r="L804" s="35"/>
    </row>
    <row r="805" spans="1:12" s="37" customFormat="1" x14ac:dyDescent="0.25">
      <c r="A805" s="30">
        <f>IF(F805&lt;&gt;"",1+MAX($A$7:A804),"")</f>
        <v>677</v>
      </c>
      <c r="B805" s="31"/>
      <c r="C805" s="50" t="s">
        <v>903</v>
      </c>
      <c r="D805" s="46">
        <v>8</v>
      </c>
      <c r="E805" s="28">
        <v>0.1</v>
      </c>
      <c r="F805" s="32">
        <f t="shared" si="155"/>
        <v>8.8000000000000007</v>
      </c>
      <c r="G805" s="29" t="s">
        <v>65</v>
      </c>
      <c r="H805" s="29"/>
      <c r="I805" s="29"/>
      <c r="J805" s="33"/>
      <c r="K805" s="34">
        <f t="shared" si="156"/>
        <v>0</v>
      </c>
      <c r="L805" s="35"/>
    </row>
    <row r="806" spans="1:12" s="37" customFormat="1" x14ac:dyDescent="0.25">
      <c r="A806" s="30">
        <f>IF(F806&lt;&gt;"",1+MAX($A$7:A805),"")</f>
        <v>678</v>
      </c>
      <c r="B806" s="31"/>
      <c r="C806" s="50" t="s">
        <v>1021</v>
      </c>
      <c r="D806" s="46">
        <v>167.59690000000001</v>
      </c>
      <c r="E806" s="28">
        <v>0.1</v>
      </c>
      <c r="F806" s="32">
        <f t="shared" ref="F806:F833" si="157">D806*(1+E806)</f>
        <v>184.35659000000001</v>
      </c>
      <c r="G806" s="29" t="s">
        <v>65</v>
      </c>
      <c r="H806" s="29"/>
      <c r="I806" s="29"/>
      <c r="J806" s="33"/>
      <c r="K806" s="34">
        <f t="shared" ref="K806:K833" si="158">J806*F806</f>
        <v>0</v>
      </c>
      <c r="L806" s="35"/>
    </row>
    <row r="807" spans="1:12" s="37" customFormat="1" x14ac:dyDescent="0.25">
      <c r="A807" s="30">
        <f>IF(F807&lt;&gt;"",1+MAX($A$7:A806),"")</f>
        <v>679</v>
      </c>
      <c r="B807" s="31"/>
      <c r="C807" s="50" t="s">
        <v>787</v>
      </c>
      <c r="D807" s="46">
        <v>11.951000000000001</v>
      </c>
      <c r="E807" s="28">
        <v>0.1</v>
      </c>
      <c r="F807" s="32">
        <f t="shared" si="157"/>
        <v>13.146100000000002</v>
      </c>
      <c r="G807" s="29" t="s">
        <v>65</v>
      </c>
      <c r="H807" s="29"/>
      <c r="I807" s="29"/>
      <c r="J807" s="33"/>
      <c r="K807" s="34">
        <f t="shared" si="158"/>
        <v>0</v>
      </c>
      <c r="L807" s="35"/>
    </row>
    <row r="808" spans="1:12" s="37" customFormat="1" x14ac:dyDescent="0.25">
      <c r="A808" s="30">
        <f>IF(F808&lt;&gt;"",1+MAX($A$7:A807),"")</f>
        <v>680</v>
      </c>
      <c r="B808" s="31"/>
      <c r="C808" s="50" t="s">
        <v>904</v>
      </c>
      <c r="D808" s="46">
        <v>14.364699999999999</v>
      </c>
      <c r="E808" s="28">
        <v>0.1</v>
      </c>
      <c r="F808" s="32">
        <f t="shared" si="157"/>
        <v>15.801170000000001</v>
      </c>
      <c r="G808" s="29" t="s">
        <v>65</v>
      </c>
      <c r="H808" s="29"/>
      <c r="I808" s="29"/>
      <c r="J808" s="33"/>
      <c r="K808" s="34">
        <f t="shared" si="158"/>
        <v>0</v>
      </c>
      <c r="L808" s="35"/>
    </row>
    <row r="809" spans="1:12" s="37" customFormat="1" x14ac:dyDescent="0.25">
      <c r="A809" s="30">
        <f>IF(F809&lt;&gt;"",1+MAX($A$7:A808),"")</f>
        <v>681</v>
      </c>
      <c r="B809" s="31"/>
      <c r="C809" s="50" t="s">
        <v>788</v>
      </c>
      <c r="D809" s="46">
        <v>10.7133</v>
      </c>
      <c r="E809" s="28">
        <v>0.1</v>
      </c>
      <c r="F809" s="32">
        <f t="shared" si="157"/>
        <v>11.784630000000002</v>
      </c>
      <c r="G809" s="29" t="s">
        <v>65</v>
      </c>
      <c r="H809" s="29"/>
      <c r="I809" s="29"/>
      <c r="J809" s="33"/>
      <c r="K809" s="34">
        <f t="shared" si="158"/>
        <v>0</v>
      </c>
      <c r="L809" s="35"/>
    </row>
    <row r="810" spans="1:12" s="37" customFormat="1" x14ac:dyDescent="0.25">
      <c r="A810" s="30">
        <f>IF(F810&lt;&gt;"",1+MAX($A$7:A809),"")</f>
        <v>682</v>
      </c>
      <c r="B810" s="31"/>
      <c r="C810" s="50" t="s">
        <v>1109</v>
      </c>
      <c r="D810" s="46">
        <f>28+469.6656</f>
        <v>497.66559999999998</v>
      </c>
      <c r="E810" s="28">
        <v>0.1</v>
      </c>
      <c r="F810" s="32">
        <f t="shared" si="157"/>
        <v>547.43216000000007</v>
      </c>
      <c r="G810" s="29" t="s">
        <v>65</v>
      </c>
      <c r="H810" s="29"/>
      <c r="I810" s="29"/>
      <c r="J810" s="33"/>
      <c r="K810" s="34">
        <f t="shared" si="158"/>
        <v>0</v>
      </c>
      <c r="L810" s="35"/>
    </row>
    <row r="811" spans="1:12" s="37" customFormat="1" x14ac:dyDescent="0.25">
      <c r="A811" s="30">
        <f>IF(F811&lt;&gt;"",1+MAX($A$7:A810),"")</f>
        <v>683</v>
      </c>
      <c r="B811" s="31"/>
      <c r="C811" s="50" t="s">
        <v>1089</v>
      </c>
      <c r="D811" s="46">
        <v>275.71600000000001</v>
      </c>
      <c r="E811" s="28">
        <v>0.1</v>
      </c>
      <c r="F811" s="32">
        <f t="shared" si="157"/>
        <v>303.28760000000005</v>
      </c>
      <c r="G811" s="29" t="s">
        <v>65</v>
      </c>
      <c r="H811" s="29"/>
      <c r="I811" s="29"/>
      <c r="J811" s="33"/>
      <c r="K811" s="34">
        <f t="shared" si="158"/>
        <v>0</v>
      </c>
      <c r="L811" s="35"/>
    </row>
    <row r="812" spans="1:12" s="37" customFormat="1" x14ac:dyDescent="0.25">
      <c r="A812" s="30">
        <f>IF(F812&lt;&gt;"",1+MAX($A$7:A811),"")</f>
        <v>684</v>
      </c>
      <c r="B812" s="31"/>
      <c r="C812" s="50" t="s">
        <v>1049</v>
      </c>
      <c r="D812" s="46">
        <v>163.11500000000001</v>
      </c>
      <c r="E812" s="28">
        <v>0.1</v>
      </c>
      <c r="F812" s="32">
        <f t="shared" si="157"/>
        <v>179.42650000000003</v>
      </c>
      <c r="G812" s="29" t="s">
        <v>65</v>
      </c>
      <c r="H812" s="29"/>
      <c r="I812" s="29"/>
      <c r="J812" s="33"/>
      <c r="K812" s="34">
        <f t="shared" si="158"/>
        <v>0</v>
      </c>
      <c r="L812" s="35"/>
    </row>
    <row r="813" spans="1:12" s="37" customFormat="1" x14ac:dyDescent="0.25">
      <c r="A813" s="30">
        <f>IF(F813&lt;&gt;"",1+MAX($A$7:A812),"")</f>
        <v>685</v>
      </c>
      <c r="B813" s="31"/>
      <c r="C813" s="50" t="s">
        <v>1066</v>
      </c>
      <c r="D813" s="46">
        <v>358.8</v>
      </c>
      <c r="E813" s="28">
        <v>0.1</v>
      </c>
      <c r="F813" s="32">
        <f t="shared" si="157"/>
        <v>394.68000000000006</v>
      </c>
      <c r="G813" s="29" t="s">
        <v>65</v>
      </c>
      <c r="H813" s="29"/>
      <c r="I813" s="29"/>
      <c r="J813" s="33"/>
      <c r="K813" s="34">
        <f t="shared" si="158"/>
        <v>0</v>
      </c>
      <c r="L813" s="35"/>
    </row>
    <row r="814" spans="1:12" s="37" customFormat="1" x14ac:dyDescent="0.25">
      <c r="A814" s="30">
        <f>IF(F814&lt;&gt;"",1+MAX($A$7:A813),"")</f>
        <v>686</v>
      </c>
      <c r="B814" s="31"/>
      <c r="C814" s="50" t="s">
        <v>1075</v>
      </c>
      <c r="D814" s="46">
        <v>165.31469999999999</v>
      </c>
      <c r="E814" s="28">
        <v>0.1</v>
      </c>
      <c r="F814" s="32">
        <f t="shared" si="157"/>
        <v>181.84617</v>
      </c>
      <c r="G814" s="29" t="s">
        <v>65</v>
      </c>
      <c r="H814" s="29"/>
      <c r="I814" s="29"/>
      <c r="J814" s="33"/>
      <c r="K814" s="34">
        <f t="shared" si="158"/>
        <v>0</v>
      </c>
      <c r="L814" s="35"/>
    </row>
    <row r="815" spans="1:12" s="37" customFormat="1" x14ac:dyDescent="0.25">
      <c r="A815" s="30">
        <f>IF(F815&lt;&gt;"",1+MAX($A$7:A814),"")</f>
        <v>687</v>
      </c>
      <c r="B815" s="31"/>
      <c r="C815" s="50" t="s">
        <v>905</v>
      </c>
      <c r="D815" s="44">
        <v>20</v>
      </c>
      <c r="E815" s="28">
        <v>0.1</v>
      </c>
      <c r="F815" s="32">
        <f t="shared" si="157"/>
        <v>22</v>
      </c>
      <c r="G815" s="29" t="s">
        <v>65</v>
      </c>
      <c r="H815" s="29"/>
      <c r="I815" s="29"/>
      <c r="J815" s="33"/>
      <c r="K815" s="34">
        <f t="shared" si="158"/>
        <v>0</v>
      </c>
      <c r="L815" s="35"/>
    </row>
    <row r="816" spans="1:12" s="37" customFormat="1" x14ac:dyDescent="0.25">
      <c r="A816" s="30">
        <f>IF(F816&lt;&gt;"",1+MAX($A$7:A815),"")</f>
        <v>688</v>
      </c>
      <c r="B816" s="31"/>
      <c r="C816" s="50" t="s">
        <v>906</v>
      </c>
      <c r="D816" s="44">
        <v>20</v>
      </c>
      <c r="E816" s="28">
        <v>0.1</v>
      </c>
      <c r="F816" s="32">
        <f t="shared" si="157"/>
        <v>22</v>
      </c>
      <c r="G816" s="29" t="s">
        <v>65</v>
      </c>
      <c r="H816" s="29"/>
      <c r="I816" s="29"/>
      <c r="J816" s="33"/>
      <c r="K816" s="34">
        <f t="shared" si="158"/>
        <v>0</v>
      </c>
      <c r="L816" s="35"/>
    </row>
    <row r="817" spans="1:12" s="37" customFormat="1" x14ac:dyDescent="0.25">
      <c r="A817" s="30">
        <f>IF(F817&lt;&gt;"",1+MAX($A$7:A816),"")</f>
        <v>689</v>
      </c>
      <c r="B817" s="31"/>
      <c r="C817" s="50" t="s">
        <v>991</v>
      </c>
      <c r="D817" s="44">
        <v>40</v>
      </c>
      <c r="E817" s="28">
        <v>0.1</v>
      </c>
      <c r="F817" s="32">
        <f t="shared" si="157"/>
        <v>44</v>
      </c>
      <c r="G817" s="29" t="s">
        <v>65</v>
      </c>
      <c r="H817" s="29"/>
      <c r="I817" s="29"/>
      <c r="J817" s="33"/>
      <c r="K817" s="34">
        <f t="shared" si="158"/>
        <v>0</v>
      </c>
      <c r="L817" s="35"/>
    </row>
    <row r="818" spans="1:12" s="37" customFormat="1" x14ac:dyDescent="0.25">
      <c r="A818" s="30">
        <f>IF(F818&lt;&gt;"",1+MAX($A$7:A817),"")</f>
        <v>690</v>
      </c>
      <c r="B818" s="31"/>
      <c r="C818" s="50" t="s">
        <v>1052</v>
      </c>
      <c r="D818" s="44">
        <v>83.15</v>
      </c>
      <c r="E818" s="28">
        <v>0.1</v>
      </c>
      <c r="F818" s="32">
        <f t="shared" si="157"/>
        <v>91.465000000000018</v>
      </c>
      <c r="G818" s="29" t="s">
        <v>65</v>
      </c>
      <c r="H818" s="29"/>
      <c r="I818" s="29"/>
      <c r="J818" s="33"/>
      <c r="K818" s="34">
        <f t="shared" si="158"/>
        <v>0</v>
      </c>
      <c r="L818" s="35"/>
    </row>
    <row r="819" spans="1:12" s="37" customFormat="1" x14ac:dyDescent="0.25">
      <c r="A819" s="30">
        <f>IF(F819&lt;&gt;"",1+MAX($A$7:A818),"")</f>
        <v>691</v>
      </c>
      <c r="B819" s="31"/>
      <c r="C819" s="50" t="s">
        <v>1070</v>
      </c>
      <c r="D819" s="46">
        <v>133.55000000000001</v>
      </c>
      <c r="E819" s="28">
        <v>0.1</v>
      </c>
      <c r="F819" s="32">
        <f t="shared" si="157"/>
        <v>146.90500000000003</v>
      </c>
      <c r="G819" s="29" t="s">
        <v>65</v>
      </c>
      <c r="H819" s="29"/>
      <c r="I819" s="29"/>
      <c r="J819" s="33"/>
      <c r="K819" s="34">
        <f t="shared" si="158"/>
        <v>0</v>
      </c>
      <c r="L819" s="35"/>
    </row>
    <row r="820" spans="1:12" s="37" customFormat="1" x14ac:dyDescent="0.25">
      <c r="A820" s="30">
        <f>IF(F820&lt;&gt;"",1+MAX($A$7:A819),"")</f>
        <v>692</v>
      </c>
      <c r="B820" s="31"/>
      <c r="C820" s="50" t="s">
        <v>1067</v>
      </c>
      <c r="D820" s="46">
        <v>96.264300000000006</v>
      </c>
      <c r="E820" s="28">
        <v>0.1</v>
      </c>
      <c r="F820" s="32">
        <f t="shared" si="157"/>
        <v>105.89073000000002</v>
      </c>
      <c r="G820" s="29" t="s">
        <v>65</v>
      </c>
      <c r="H820" s="29"/>
      <c r="I820" s="29"/>
      <c r="J820" s="33"/>
      <c r="K820" s="34">
        <f t="shared" si="158"/>
        <v>0</v>
      </c>
      <c r="L820" s="35"/>
    </row>
    <row r="821" spans="1:12" s="37" customFormat="1" x14ac:dyDescent="0.25">
      <c r="A821" s="30">
        <f>IF(F821&lt;&gt;"",1+MAX($A$7:A820),"")</f>
        <v>693</v>
      </c>
      <c r="B821" s="31"/>
      <c r="C821" s="50" t="s">
        <v>992</v>
      </c>
      <c r="D821" s="46">
        <v>82.114699999999999</v>
      </c>
      <c r="E821" s="28">
        <v>0.1</v>
      </c>
      <c r="F821" s="32">
        <f t="shared" si="157"/>
        <v>90.326170000000005</v>
      </c>
      <c r="G821" s="29" t="s">
        <v>65</v>
      </c>
      <c r="H821" s="29"/>
      <c r="I821" s="29"/>
      <c r="J821" s="33"/>
      <c r="K821" s="34">
        <f t="shared" si="158"/>
        <v>0</v>
      </c>
      <c r="L821" s="35"/>
    </row>
    <row r="822" spans="1:12" s="37" customFormat="1" x14ac:dyDescent="0.25">
      <c r="A822" s="30">
        <f>IF(F822&lt;&gt;"",1+MAX($A$7:A821),"")</f>
        <v>694</v>
      </c>
      <c r="B822" s="31"/>
      <c r="C822" s="50" t="s">
        <v>789</v>
      </c>
      <c r="D822" s="46">
        <v>22.5533</v>
      </c>
      <c r="E822" s="28">
        <v>0.1</v>
      </c>
      <c r="F822" s="32">
        <f t="shared" si="157"/>
        <v>24.808630000000001</v>
      </c>
      <c r="G822" s="29" t="s">
        <v>65</v>
      </c>
      <c r="H822" s="29"/>
      <c r="I822" s="29"/>
      <c r="J822" s="33"/>
      <c r="K822" s="34">
        <f t="shared" si="158"/>
        <v>0</v>
      </c>
      <c r="L822" s="35"/>
    </row>
    <row r="823" spans="1:12" s="37" customFormat="1" x14ac:dyDescent="0.25">
      <c r="A823" s="30">
        <f>IF(F823&lt;&gt;"",1+MAX($A$7:A822),"")</f>
        <v>695</v>
      </c>
      <c r="B823" s="31"/>
      <c r="C823" s="50" t="s">
        <v>966</v>
      </c>
      <c r="D823" s="46">
        <f>62+114.0035</f>
        <v>176.0035</v>
      </c>
      <c r="E823" s="28">
        <v>0.1</v>
      </c>
      <c r="F823" s="32">
        <f t="shared" si="157"/>
        <v>193.60385000000002</v>
      </c>
      <c r="G823" s="29" t="s">
        <v>65</v>
      </c>
      <c r="H823" s="29"/>
      <c r="I823" s="29"/>
      <c r="J823" s="33"/>
      <c r="K823" s="34">
        <f t="shared" si="158"/>
        <v>0</v>
      </c>
      <c r="L823" s="35"/>
    </row>
    <row r="824" spans="1:12" s="37" customFormat="1" x14ac:dyDescent="0.25">
      <c r="A824" s="30">
        <f>IF(F824&lt;&gt;"",1+MAX($A$7:A823),"")</f>
        <v>696</v>
      </c>
      <c r="B824" s="31"/>
      <c r="C824" s="50" t="s">
        <v>187</v>
      </c>
      <c r="D824" s="46">
        <v>887.26890000000003</v>
      </c>
      <c r="E824" s="28">
        <v>0.1</v>
      </c>
      <c r="F824" s="32">
        <f t="shared" si="157"/>
        <v>975.99579000000006</v>
      </c>
      <c r="G824" s="29" t="s">
        <v>65</v>
      </c>
      <c r="H824" s="29"/>
      <c r="I824" s="29"/>
      <c r="J824" s="33"/>
      <c r="K824" s="34">
        <f t="shared" si="158"/>
        <v>0</v>
      </c>
      <c r="L824" s="35"/>
    </row>
    <row r="825" spans="1:12" s="37" customFormat="1" x14ac:dyDescent="0.25">
      <c r="A825" s="30">
        <f>IF(F825&lt;&gt;"",1+MAX($A$7:A824),"")</f>
        <v>697</v>
      </c>
      <c r="B825" s="31"/>
      <c r="C825" s="50" t="s">
        <v>993</v>
      </c>
      <c r="D825" s="46">
        <v>168.8272</v>
      </c>
      <c r="E825" s="28">
        <v>0.1</v>
      </c>
      <c r="F825" s="32">
        <f t="shared" si="157"/>
        <v>185.70992000000001</v>
      </c>
      <c r="G825" s="29" t="s">
        <v>65</v>
      </c>
      <c r="H825" s="29"/>
      <c r="I825" s="29"/>
      <c r="J825" s="33"/>
      <c r="K825" s="34">
        <f t="shared" si="158"/>
        <v>0</v>
      </c>
      <c r="L825" s="35"/>
    </row>
    <row r="826" spans="1:12" s="37" customFormat="1" x14ac:dyDescent="0.25">
      <c r="A826" s="30">
        <f>IF(F826&lt;&gt;"",1+MAX($A$7:A825),"")</f>
        <v>698</v>
      </c>
      <c r="B826" s="31"/>
      <c r="C826" s="50" t="s">
        <v>994</v>
      </c>
      <c r="D826" s="46">
        <v>72.932000000000002</v>
      </c>
      <c r="E826" s="28">
        <v>0.1</v>
      </c>
      <c r="F826" s="32">
        <f t="shared" si="157"/>
        <v>80.225200000000015</v>
      </c>
      <c r="G826" s="29" t="s">
        <v>65</v>
      </c>
      <c r="H826" s="29"/>
      <c r="I826" s="29"/>
      <c r="J826" s="33"/>
      <c r="K826" s="34">
        <f t="shared" si="158"/>
        <v>0</v>
      </c>
      <c r="L826" s="35"/>
    </row>
    <row r="827" spans="1:12" s="37" customFormat="1" x14ac:dyDescent="0.25">
      <c r="A827" s="30">
        <f>IF(F827&lt;&gt;"",1+MAX($A$7:A826),"")</f>
        <v>699</v>
      </c>
      <c r="B827" s="31"/>
      <c r="C827" s="50" t="s">
        <v>995</v>
      </c>
      <c r="D827" s="46">
        <v>254.48349999999999</v>
      </c>
      <c r="E827" s="28">
        <v>0.1</v>
      </c>
      <c r="F827" s="32">
        <f t="shared" si="157"/>
        <v>279.93185</v>
      </c>
      <c r="G827" s="29" t="s">
        <v>65</v>
      </c>
      <c r="H827" s="29"/>
      <c r="I827" s="29"/>
      <c r="J827" s="33"/>
      <c r="K827" s="34">
        <f t="shared" si="158"/>
        <v>0</v>
      </c>
      <c r="L827" s="35"/>
    </row>
    <row r="828" spans="1:12" s="37" customFormat="1" x14ac:dyDescent="0.25">
      <c r="A828" s="30">
        <f>IF(F828&lt;&gt;"",1+MAX($A$7:A827),"")</f>
        <v>700</v>
      </c>
      <c r="B828" s="31"/>
      <c r="C828" s="50" t="s">
        <v>996</v>
      </c>
      <c r="D828" s="44">
        <v>71.900000000000006</v>
      </c>
      <c r="E828" s="28">
        <v>0.1</v>
      </c>
      <c r="F828" s="32">
        <f t="shared" si="157"/>
        <v>79.090000000000018</v>
      </c>
      <c r="G828" s="29" t="s">
        <v>65</v>
      </c>
      <c r="H828" s="29"/>
      <c r="I828" s="29"/>
      <c r="J828" s="33"/>
      <c r="K828" s="34">
        <f t="shared" si="158"/>
        <v>0</v>
      </c>
      <c r="L828" s="35"/>
    </row>
    <row r="829" spans="1:12" s="37" customFormat="1" x14ac:dyDescent="0.25">
      <c r="A829" s="30">
        <f>IF(F829&lt;&gt;"",1+MAX($A$7:A828),"")</f>
        <v>701</v>
      </c>
      <c r="B829" s="31"/>
      <c r="C829" s="50" t="s">
        <v>1062</v>
      </c>
      <c r="D829" s="46">
        <v>113.7624</v>
      </c>
      <c r="E829" s="28">
        <v>0.1</v>
      </c>
      <c r="F829" s="32">
        <f t="shared" si="157"/>
        <v>125.13864000000001</v>
      </c>
      <c r="G829" s="29" t="s">
        <v>65</v>
      </c>
      <c r="H829" s="29"/>
      <c r="I829" s="29"/>
      <c r="J829" s="33"/>
      <c r="K829" s="34">
        <f t="shared" si="158"/>
        <v>0</v>
      </c>
      <c r="L829" s="35"/>
    </row>
    <row r="830" spans="1:12" s="37" customFormat="1" x14ac:dyDescent="0.25">
      <c r="A830" s="30">
        <f>IF(F830&lt;&gt;"",1+MAX($A$7:A829),"")</f>
        <v>702</v>
      </c>
      <c r="B830" s="31"/>
      <c r="C830" s="50" t="s">
        <v>967</v>
      </c>
      <c r="D830" s="46">
        <v>9.9343000000000004</v>
      </c>
      <c r="E830" s="28">
        <v>0.1</v>
      </c>
      <c r="F830" s="32">
        <f t="shared" si="157"/>
        <v>10.92773</v>
      </c>
      <c r="G830" s="29" t="s">
        <v>65</v>
      </c>
      <c r="H830" s="29"/>
      <c r="I830" s="29"/>
      <c r="J830" s="33"/>
      <c r="K830" s="34">
        <f t="shared" si="158"/>
        <v>0</v>
      </c>
      <c r="L830" s="35"/>
    </row>
    <row r="831" spans="1:12" s="37" customFormat="1" x14ac:dyDescent="0.25">
      <c r="A831" s="30">
        <f>IF(F831&lt;&gt;"",1+MAX($A$7:A830),"")</f>
        <v>703</v>
      </c>
      <c r="B831" s="31"/>
      <c r="C831" s="50" t="s">
        <v>1055</v>
      </c>
      <c r="D831" s="46">
        <v>36.7395</v>
      </c>
      <c r="E831" s="28">
        <v>0.1</v>
      </c>
      <c r="F831" s="32">
        <f t="shared" si="157"/>
        <v>40.413450000000005</v>
      </c>
      <c r="G831" s="29" t="s">
        <v>65</v>
      </c>
      <c r="H831" s="29"/>
      <c r="I831" s="29"/>
      <c r="J831" s="33"/>
      <c r="K831" s="34">
        <f t="shared" si="158"/>
        <v>0</v>
      </c>
      <c r="L831" s="35"/>
    </row>
    <row r="832" spans="1:12" s="37" customFormat="1" x14ac:dyDescent="0.25">
      <c r="A832" s="30">
        <f>IF(F832&lt;&gt;"",1+MAX($A$7:A831),"")</f>
        <v>704</v>
      </c>
      <c r="B832" s="31"/>
      <c r="C832" s="50" t="s">
        <v>1022</v>
      </c>
      <c r="D832" s="46">
        <v>26.5</v>
      </c>
      <c r="E832" s="28">
        <v>0.1</v>
      </c>
      <c r="F832" s="32">
        <f t="shared" si="157"/>
        <v>29.150000000000002</v>
      </c>
      <c r="G832" s="29" t="s">
        <v>65</v>
      </c>
      <c r="H832" s="29"/>
      <c r="I832" s="29"/>
      <c r="J832" s="33"/>
      <c r="K832" s="34">
        <f t="shared" si="158"/>
        <v>0</v>
      </c>
      <c r="L832" s="35"/>
    </row>
    <row r="833" spans="1:12" s="37" customFormat="1" x14ac:dyDescent="0.25">
      <c r="A833" s="30">
        <f>IF(F833&lt;&gt;"",1+MAX($A$7:A832),"")</f>
        <v>705</v>
      </c>
      <c r="B833" s="31"/>
      <c r="C833" s="50" t="s">
        <v>790</v>
      </c>
      <c r="D833" s="46">
        <v>3.7467999999999999</v>
      </c>
      <c r="E833" s="28">
        <v>0.1</v>
      </c>
      <c r="F833" s="32">
        <f t="shared" si="157"/>
        <v>4.12148</v>
      </c>
      <c r="G833" s="29" t="s">
        <v>65</v>
      </c>
      <c r="H833" s="29"/>
      <c r="I833" s="29"/>
      <c r="J833" s="33"/>
      <c r="K833" s="34">
        <f t="shared" si="158"/>
        <v>0</v>
      </c>
      <c r="L833" s="35"/>
    </row>
    <row r="834" spans="1:12" s="37" customFormat="1" x14ac:dyDescent="0.25">
      <c r="A834" s="30" t="str">
        <f>IF(F834&lt;&gt;"",1+MAX($A$7:A833),"")</f>
        <v/>
      </c>
      <c r="B834" s="31"/>
      <c r="C834" s="43"/>
      <c r="D834" s="44"/>
      <c r="E834" s="28"/>
      <c r="F834" s="32"/>
      <c r="G834" s="29"/>
      <c r="H834" s="29"/>
      <c r="I834" s="29"/>
      <c r="J834" s="33"/>
      <c r="K834" s="34"/>
      <c r="L834" s="35"/>
    </row>
    <row r="835" spans="1:12" s="37" customFormat="1" x14ac:dyDescent="0.25">
      <c r="A835" s="30" t="str">
        <f>IF(F835&lt;&gt;"",1+MAX($A$7:A834),"")</f>
        <v/>
      </c>
      <c r="B835" s="31"/>
      <c r="C835" s="49" t="s">
        <v>74</v>
      </c>
      <c r="D835" s="44"/>
      <c r="E835" s="28"/>
      <c r="F835" s="32"/>
      <c r="G835" s="29"/>
      <c r="H835" s="29"/>
      <c r="I835" s="29"/>
      <c r="J835" s="33"/>
      <c r="K835" s="34"/>
      <c r="L835" s="35"/>
    </row>
    <row r="836" spans="1:12" s="37" customFormat="1" x14ac:dyDescent="0.25">
      <c r="A836" s="30">
        <f>IF(F836&lt;&gt;"",1+MAX($A$7:A835),"")</f>
        <v>706</v>
      </c>
      <c r="B836" s="31"/>
      <c r="C836" s="43" t="s">
        <v>116</v>
      </c>
      <c r="D836" s="46">
        <f>164.11*2+2653.51+798.93*3</f>
        <v>5378.52</v>
      </c>
      <c r="E836" s="28">
        <v>0.1</v>
      </c>
      <c r="F836" s="32">
        <f t="shared" ref="F836" si="159">D836*(1+E836)</f>
        <v>5916.3720000000012</v>
      </c>
      <c r="G836" s="29" t="s">
        <v>65</v>
      </c>
      <c r="H836" s="29"/>
      <c r="I836" s="29"/>
      <c r="J836" s="33"/>
      <c r="K836" s="34">
        <f t="shared" ref="K836" si="160">J836*F836</f>
        <v>0</v>
      </c>
      <c r="L836" s="35"/>
    </row>
    <row r="837" spans="1:12" s="37" customFormat="1" x14ac:dyDescent="0.25">
      <c r="A837" s="30" t="str">
        <f>IF(F837&lt;&gt;"",1+MAX($A$7:A836),"")</f>
        <v/>
      </c>
      <c r="B837" s="31"/>
      <c r="C837" s="43"/>
      <c r="D837" s="44"/>
      <c r="E837" s="28"/>
      <c r="F837" s="32"/>
      <c r="G837" s="29"/>
      <c r="H837" s="29"/>
      <c r="I837" s="29"/>
      <c r="J837" s="33"/>
      <c r="K837" s="34"/>
      <c r="L837" s="35"/>
    </row>
    <row r="838" spans="1:12" s="37" customFormat="1" x14ac:dyDescent="0.25">
      <c r="A838" s="30" t="str">
        <f>IF(F838&lt;&gt;"",1+MAX($A$7:A837),"")</f>
        <v/>
      </c>
      <c r="B838" s="31"/>
      <c r="C838" s="49" t="s">
        <v>109</v>
      </c>
      <c r="D838" s="44"/>
      <c r="E838" s="28"/>
      <c r="F838" s="32"/>
      <c r="G838" s="29"/>
      <c r="H838" s="29"/>
      <c r="I838" s="29"/>
      <c r="J838" s="33"/>
      <c r="K838" s="34"/>
      <c r="L838" s="35"/>
    </row>
    <row r="839" spans="1:12" s="37" customFormat="1" x14ac:dyDescent="0.25">
      <c r="A839" s="30">
        <f>IF(F839&lt;&gt;"",1+MAX($A$7:A838),"")</f>
        <v>707</v>
      </c>
      <c r="B839" s="31"/>
      <c r="C839" s="50" t="s">
        <v>791</v>
      </c>
      <c r="D839" s="46">
        <v>1</v>
      </c>
      <c r="E839" s="28">
        <v>0</v>
      </c>
      <c r="F839" s="32">
        <f t="shared" ref="F839:F902" si="161">D839*(1+E839)</f>
        <v>1</v>
      </c>
      <c r="G839" s="29" t="s">
        <v>66</v>
      </c>
      <c r="H839" s="29"/>
      <c r="I839" s="29"/>
      <c r="J839" s="33"/>
      <c r="K839" s="34">
        <f t="shared" ref="K839:K902" si="162">J839*F839</f>
        <v>0</v>
      </c>
      <c r="L839" s="35"/>
    </row>
    <row r="840" spans="1:12" s="37" customFormat="1" x14ac:dyDescent="0.25">
      <c r="A840" s="30">
        <f>IF(F840&lt;&gt;"",1+MAX($A$7:A839),"")</f>
        <v>708</v>
      </c>
      <c r="B840" s="31"/>
      <c r="C840" s="50" t="s">
        <v>997</v>
      </c>
      <c r="D840" s="46">
        <v>4</v>
      </c>
      <c r="E840" s="28">
        <v>0</v>
      </c>
      <c r="F840" s="32">
        <f t="shared" si="161"/>
        <v>4</v>
      </c>
      <c r="G840" s="29" t="s">
        <v>66</v>
      </c>
      <c r="H840" s="29"/>
      <c r="I840" s="29"/>
      <c r="J840" s="33"/>
      <c r="K840" s="34">
        <f t="shared" si="162"/>
        <v>0</v>
      </c>
      <c r="L840" s="35"/>
    </row>
    <row r="841" spans="1:12" s="37" customFormat="1" x14ac:dyDescent="0.25">
      <c r="A841" s="30">
        <f>IF(F841&lt;&gt;"",1+MAX($A$7:A840),"")</f>
        <v>709</v>
      </c>
      <c r="B841" s="31"/>
      <c r="C841" s="50" t="s">
        <v>792</v>
      </c>
      <c r="D841" s="46">
        <v>4</v>
      </c>
      <c r="E841" s="28">
        <v>0</v>
      </c>
      <c r="F841" s="32">
        <f t="shared" si="161"/>
        <v>4</v>
      </c>
      <c r="G841" s="29" t="s">
        <v>66</v>
      </c>
      <c r="H841" s="29"/>
      <c r="I841" s="29"/>
      <c r="J841" s="33"/>
      <c r="K841" s="34">
        <f t="shared" si="162"/>
        <v>0</v>
      </c>
      <c r="L841" s="35"/>
    </row>
    <row r="842" spans="1:12" s="37" customFormat="1" x14ac:dyDescent="0.25">
      <c r="A842" s="30">
        <f>IF(F842&lt;&gt;"",1+MAX($A$7:A841),"")</f>
        <v>710</v>
      </c>
      <c r="B842" s="31"/>
      <c r="C842" s="50" t="s">
        <v>793</v>
      </c>
      <c r="D842" s="46">
        <v>2</v>
      </c>
      <c r="E842" s="28">
        <v>0</v>
      </c>
      <c r="F842" s="32">
        <f t="shared" si="161"/>
        <v>2</v>
      </c>
      <c r="G842" s="29" t="s">
        <v>66</v>
      </c>
      <c r="H842" s="29"/>
      <c r="I842" s="29"/>
      <c r="J842" s="33"/>
      <c r="K842" s="34">
        <f t="shared" si="162"/>
        <v>0</v>
      </c>
      <c r="L842" s="35"/>
    </row>
    <row r="843" spans="1:12" s="37" customFormat="1" x14ac:dyDescent="0.25">
      <c r="A843" s="30">
        <f>IF(F843&lt;&gt;"",1+MAX($A$7:A842),"")</f>
        <v>711</v>
      </c>
      <c r="B843" s="31"/>
      <c r="C843" s="50" t="s">
        <v>907</v>
      </c>
      <c r="D843" s="46">
        <v>2</v>
      </c>
      <c r="E843" s="28">
        <v>0</v>
      </c>
      <c r="F843" s="32">
        <f t="shared" si="161"/>
        <v>2</v>
      </c>
      <c r="G843" s="29" t="s">
        <v>66</v>
      </c>
      <c r="H843" s="29"/>
      <c r="I843" s="29"/>
      <c r="J843" s="33"/>
      <c r="K843" s="34">
        <f t="shared" si="162"/>
        <v>0</v>
      </c>
      <c r="L843" s="35"/>
    </row>
    <row r="844" spans="1:12" s="37" customFormat="1" x14ac:dyDescent="0.25">
      <c r="A844" s="30">
        <f>IF(F844&lt;&gt;"",1+MAX($A$7:A843),"")</f>
        <v>712</v>
      </c>
      <c r="B844" s="31"/>
      <c r="C844" s="50" t="s">
        <v>908</v>
      </c>
      <c r="D844" s="46">
        <v>6</v>
      </c>
      <c r="E844" s="28">
        <v>0</v>
      </c>
      <c r="F844" s="32">
        <f t="shared" si="161"/>
        <v>6</v>
      </c>
      <c r="G844" s="29" t="s">
        <v>66</v>
      </c>
      <c r="H844" s="29"/>
      <c r="I844" s="29"/>
      <c r="J844" s="33"/>
      <c r="K844" s="34">
        <f t="shared" si="162"/>
        <v>0</v>
      </c>
      <c r="L844" s="35"/>
    </row>
    <row r="845" spans="1:12" s="37" customFormat="1" x14ac:dyDescent="0.25">
      <c r="A845" s="30">
        <f>IF(F845&lt;&gt;"",1+MAX($A$7:A844),"")</f>
        <v>713</v>
      </c>
      <c r="B845" s="31"/>
      <c r="C845" s="50" t="s">
        <v>909</v>
      </c>
      <c r="D845" s="46">
        <v>2</v>
      </c>
      <c r="E845" s="28">
        <v>0</v>
      </c>
      <c r="F845" s="32">
        <f t="shared" si="161"/>
        <v>2</v>
      </c>
      <c r="G845" s="29" t="s">
        <v>66</v>
      </c>
      <c r="H845" s="29"/>
      <c r="I845" s="29"/>
      <c r="J845" s="33"/>
      <c r="K845" s="34">
        <f t="shared" si="162"/>
        <v>0</v>
      </c>
      <c r="L845" s="35"/>
    </row>
    <row r="846" spans="1:12" s="37" customFormat="1" x14ac:dyDescent="0.25">
      <c r="A846" s="30">
        <f>IF(F846&lt;&gt;"",1+MAX($A$7:A845),"")</f>
        <v>714</v>
      </c>
      <c r="B846" s="31"/>
      <c r="C846" s="50" t="s">
        <v>794</v>
      </c>
      <c r="D846" s="46">
        <v>1</v>
      </c>
      <c r="E846" s="28">
        <v>0</v>
      </c>
      <c r="F846" s="32">
        <f t="shared" si="161"/>
        <v>1</v>
      </c>
      <c r="G846" s="29" t="s">
        <v>66</v>
      </c>
      <c r="H846" s="29"/>
      <c r="I846" s="29"/>
      <c r="J846" s="33"/>
      <c r="K846" s="34">
        <f t="shared" si="162"/>
        <v>0</v>
      </c>
      <c r="L846" s="35"/>
    </row>
    <row r="847" spans="1:12" s="37" customFormat="1" x14ac:dyDescent="0.25">
      <c r="A847" s="30">
        <f>IF(F847&lt;&gt;"",1+MAX($A$7:A846),"")</f>
        <v>715</v>
      </c>
      <c r="B847" s="31"/>
      <c r="C847" s="50" t="s">
        <v>795</v>
      </c>
      <c r="D847" s="46">
        <v>2</v>
      </c>
      <c r="E847" s="28">
        <v>0</v>
      </c>
      <c r="F847" s="32">
        <f t="shared" si="161"/>
        <v>2</v>
      </c>
      <c r="G847" s="29" t="s">
        <v>66</v>
      </c>
      <c r="H847" s="29"/>
      <c r="I847" s="29"/>
      <c r="J847" s="33"/>
      <c r="K847" s="34">
        <f t="shared" si="162"/>
        <v>0</v>
      </c>
      <c r="L847" s="35"/>
    </row>
    <row r="848" spans="1:12" s="37" customFormat="1" x14ac:dyDescent="0.25">
      <c r="A848" s="30">
        <f>IF(F848&lt;&gt;"",1+MAX($A$7:A847),"")</f>
        <v>716</v>
      </c>
      <c r="B848" s="31"/>
      <c r="C848" s="50" t="s">
        <v>796</v>
      </c>
      <c r="D848" s="46">
        <v>4</v>
      </c>
      <c r="E848" s="28">
        <v>0</v>
      </c>
      <c r="F848" s="32">
        <f t="shared" si="161"/>
        <v>4</v>
      </c>
      <c r="G848" s="29" t="s">
        <v>66</v>
      </c>
      <c r="H848" s="29"/>
      <c r="I848" s="29"/>
      <c r="J848" s="33"/>
      <c r="K848" s="34">
        <f t="shared" si="162"/>
        <v>0</v>
      </c>
      <c r="L848" s="35"/>
    </row>
    <row r="849" spans="1:12" s="37" customFormat="1" x14ac:dyDescent="0.25">
      <c r="A849" s="30">
        <f>IF(F849&lt;&gt;"",1+MAX($A$7:A848),"")</f>
        <v>717</v>
      </c>
      <c r="B849" s="31"/>
      <c r="C849" s="50" t="s">
        <v>797</v>
      </c>
      <c r="D849" s="46">
        <v>1</v>
      </c>
      <c r="E849" s="28">
        <v>0</v>
      </c>
      <c r="F849" s="32">
        <f t="shared" si="161"/>
        <v>1</v>
      </c>
      <c r="G849" s="29" t="s">
        <v>66</v>
      </c>
      <c r="H849" s="29"/>
      <c r="I849" s="29"/>
      <c r="J849" s="33"/>
      <c r="K849" s="34">
        <f t="shared" si="162"/>
        <v>0</v>
      </c>
      <c r="L849" s="35"/>
    </row>
    <row r="850" spans="1:12" s="37" customFormat="1" x14ac:dyDescent="0.25">
      <c r="A850" s="30">
        <f>IF(F850&lt;&gt;"",1+MAX($A$7:A849),"")</f>
        <v>718</v>
      </c>
      <c r="B850" s="31"/>
      <c r="C850" s="50" t="s">
        <v>968</v>
      </c>
      <c r="D850" s="46">
        <v>6</v>
      </c>
      <c r="E850" s="28">
        <v>0</v>
      </c>
      <c r="F850" s="32">
        <f t="shared" si="161"/>
        <v>6</v>
      </c>
      <c r="G850" s="29" t="s">
        <v>66</v>
      </c>
      <c r="H850" s="29"/>
      <c r="I850" s="29"/>
      <c r="J850" s="33"/>
      <c r="K850" s="34">
        <f t="shared" si="162"/>
        <v>0</v>
      </c>
      <c r="L850" s="35"/>
    </row>
    <row r="851" spans="1:12" s="37" customFormat="1" x14ac:dyDescent="0.25">
      <c r="A851" s="30">
        <f>IF(F851&lt;&gt;"",1+MAX($A$7:A850),"")</f>
        <v>719</v>
      </c>
      <c r="B851" s="31"/>
      <c r="C851" s="50" t="s">
        <v>798</v>
      </c>
      <c r="D851" s="46">
        <v>1</v>
      </c>
      <c r="E851" s="28">
        <v>0</v>
      </c>
      <c r="F851" s="32">
        <f t="shared" si="161"/>
        <v>1</v>
      </c>
      <c r="G851" s="29" t="s">
        <v>66</v>
      </c>
      <c r="H851" s="29"/>
      <c r="I851" s="29"/>
      <c r="J851" s="33"/>
      <c r="K851" s="34">
        <f t="shared" si="162"/>
        <v>0</v>
      </c>
      <c r="L851" s="35"/>
    </row>
    <row r="852" spans="1:12" s="37" customFormat="1" x14ac:dyDescent="0.25">
      <c r="A852" s="30">
        <f>IF(F852&lt;&gt;"",1+MAX($A$7:A851),"")</f>
        <v>720</v>
      </c>
      <c r="B852" s="31"/>
      <c r="C852" s="50" t="s">
        <v>910</v>
      </c>
      <c r="D852" s="46">
        <v>2</v>
      </c>
      <c r="E852" s="28">
        <v>0</v>
      </c>
      <c r="F852" s="32">
        <f t="shared" si="161"/>
        <v>2</v>
      </c>
      <c r="G852" s="29" t="s">
        <v>66</v>
      </c>
      <c r="H852" s="29"/>
      <c r="I852" s="29"/>
      <c r="J852" s="33"/>
      <c r="K852" s="34">
        <f t="shared" si="162"/>
        <v>0</v>
      </c>
      <c r="L852" s="35"/>
    </row>
    <row r="853" spans="1:12" s="37" customFormat="1" x14ac:dyDescent="0.25">
      <c r="A853" s="30">
        <f>IF(F853&lt;&gt;"",1+MAX($A$7:A852),"")</f>
        <v>721</v>
      </c>
      <c r="B853" s="31"/>
      <c r="C853" s="50" t="s">
        <v>1032</v>
      </c>
      <c r="D853" s="46">
        <v>7</v>
      </c>
      <c r="E853" s="28">
        <v>0</v>
      </c>
      <c r="F853" s="32">
        <f t="shared" si="161"/>
        <v>7</v>
      </c>
      <c r="G853" s="29" t="s">
        <v>66</v>
      </c>
      <c r="H853" s="29"/>
      <c r="I853" s="29"/>
      <c r="J853" s="33"/>
      <c r="K853" s="34">
        <f t="shared" si="162"/>
        <v>0</v>
      </c>
      <c r="L853" s="35"/>
    </row>
    <row r="854" spans="1:12" s="37" customFormat="1" x14ac:dyDescent="0.25">
      <c r="A854" s="30">
        <f>IF(F854&lt;&gt;"",1+MAX($A$7:A853),"")</f>
        <v>722</v>
      </c>
      <c r="B854" s="31"/>
      <c r="C854" s="50" t="s">
        <v>998</v>
      </c>
      <c r="D854" s="46">
        <v>4</v>
      </c>
      <c r="E854" s="28">
        <v>0</v>
      </c>
      <c r="F854" s="32">
        <f t="shared" si="161"/>
        <v>4</v>
      </c>
      <c r="G854" s="29" t="s">
        <v>66</v>
      </c>
      <c r="H854" s="29"/>
      <c r="I854" s="29"/>
      <c r="J854" s="33"/>
      <c r="K854" s="34">
        <f t="shared" si="162"/>
        <v>0</v>
      </c>
      <c r="L854" s="35"/>
    </row>
    <row r="855" spans="1:12" s="37" customFormat="1" x14ac:dyDescent="0.25">
      <c r="A855" s="30">
        <f>IF(F855&lt;&gt;"",1+MAX($A$7:A854),"")</f>
        <v>723</v>
      </c>
      <c r="B855" s="31"/>
      <c r="C855" s="50" t="s">
        <v>969</v>
      </c>
      <c r="D855" s="46">
        <v>5</v>
      </c>
      <c r="E855" s="28">
        <v>0</v>
      </c>
      <c r="F855" s="32">
        <f t="shared" si="161"/>
        <v>5</v>
      </c>
      <c r="G855" s="29" t="s">
        <v>66</v>
      </c>
      <c r="H855" s="29"/>
      <c r="I855" s="29"/>
      <c r="J855" s="33"/>
      <c r="K855" s="34">
        <f t="shared" si="162"/>
        <v>0</v>
      </c>
      <c r="L855" s="35"/>
    </row>
    <row r="856" spans="1:12" s="37" customFormat="1" x14ac:dyDescent="0.25">
      <c r="A856" s="30">
        <f>IF(F856&lt;&gt;"",1+MAX($A$7:A855),"")</f>
        <v>724</v>
      </c>
      <c r="B856" s="31"/>
      <c r="C856" s="50" t="s">
        <v>1023</v>
      </c>
      <c r="D856" s="46">
        <v>7</v>
      </c>
      <c r="E856" s="28">
        <v>0</v>
      </c>
      <c r="F856" s="32">
        <f t="shared" si="161"/>
        <v>7</v>
      </c>
      <c r="G856" s="29" t="s">
        <v>66</v>
      </c>
      <c r="H856" s="29"/>
      <c r="I856" s="29"/>
      <c r="J856" s="33"/>
      <c r="K856" s="34">
        <f t="shared" si="162"/>
        <v>0</v>
      </c>
      <c r="L856" s="35"/>
    </row>
    <row r="857" spans="1:12" s="37" customFormat="1" x14ac:dyDescent="0.25">
      <c r="A857" s="30">
        <f>IF(F857&lt;&gt;"",1+MAX($A$7:A856),"")</f>
        <v>725</v>
      </c>
      <c r="B857" s="31"/>
      <c r="C857" s="50" t="s">
        <v>799</v>
      </c>
      <c r="D857" s="46">
        <v>1</v>
      </c>
      <c r="E857" s="28">
        <v>0</v>
      </c>
      <c r="F857" s="32">
        <f t="shared" si="161"/>
        <v>1</v>
      </c>
      <c r="G857" s="29" t="s">
        <v>66</v>
      </c>
      <c r="H857" s="29"/>
      <c r="I857" s="29"/>
      <c r="J857" s="33"/>
      <c r="K857" s="34">
        <f t="shared" si="162"/>
        <v>0</v>
      </c>
      <c r="L857" s="35"/>
    </row>
    <row r="858" spans="1:12" s="37" customFormat="1" x14ac:dyDescent="0.25">
      <c r="A858" s="30">
        <f>IF(F858&lt;&gt;"",1+MAX($A$7:A857),"")</f>
        <v>726</v>
      </c>
      <c r="B858" s="31"/>
      <c r="C858" s="50" t="s">
        <v>800</v>
      </c>
      <c r="D858" s="46">
        <v>2</v>
      </c>
      <c r="E858" s="28">
        <v>0</v>
      </c>
      <c r="F858" s="32">
        <f t="shared" si="161"/>
        <v>2</v>
      </c>
      <c r="G858" s="29" t="s">
        <v>66</v>
      </c>
      <c r="H858" s="29"/>
      <c r="I858" s="29"/>
      <c r="J858" s="33"/>
      <c r="K858" s="34">
        <f t="shared" si="162"/>
        <v>0</v>
      </c>
      <c r="L858" s="35"/>
    </row>
    <row r="859" spans="1:12" s="37" customFormat="1" x14ac:dyDescent="0.25">
      <c r="A859" s="30">
        <f>IF(F859&lt;&gt;"",1+MAX($A$7:A858),"")</f>
        <v>727</v>
      </c>
      <c r="B859" s="31"/>
      <c r="C859" s="50" t="s">
        <v>801</v>
      </c>
      <c r="D859" s="46">
        <v>1</v>
      </c>
      <c r="E859" s="28">
        <v>0</v>
      </c>
      <c r="F859" s="32">
        <f t="shared" si="161"/>
        <v>1</v>
      </c>
      <c r="G859" s="29" t="s">
        <v>66</v>
      </c>
      <c r="H859" s="29"/>
      <c r="I859" s="29"/>
      <c r="J859" s="33"/>
      <c r="K859" s="34">
        <f t="shared" si="162"/>
        <v>0</v>
      </c>
      <c r="L859" s="35"/>
    </row>
    <row r="860" spans="1:12" s="37" customFormat="1" x14ac:dyDescent="0.25">
      <c r="A860" s="30">
        <f>IF(F860&lt;&gt;"",1+MAX($A$7:A859),"")</f>
        <v>728</v>
      </c>
      <c r="B860" s="31"/>
      <c r="C860" s="50" t="s">
        <v>911</v>
      </c>
      <c r="D860" s="46">
        <v>2</v>
      </c>
      <c r="E860" s="28">
        <v>0</v>
      </c>
      <c r="F860" s="32">
        <f t="shared" si="161"/>
        <v>2</v>
      </c>
      <c r="G860" s="29" t="s">
        <v>66</v>
      </c>
      <c r="H860" s="29"/>
      <c r="I860" s="29"/>
      <c r="J860" s="33"/>
      <c r="K860" s="34">
        <f t="shared" si="162"/>
        <v>0</v>
      </c>
      <c r="L860" s="35"/>
    </row>
    <row r="861" spans="1:12" s="37" customFormat="1" x14ac:dyDescent="0.25">
      <c r="A861" s="30">
        <f>IF(F861&lt;&gt;"",1+MAX($A$7:A860),"")</f>
        <v>729</v>
      </c>
      <c r="B861" s="31"/>
      <c r="C861" s="50" t="s">
        <v>912</v>
      </c>
      <c r="D861" s="46">
        <v>2</v>
      </c>
      <c r="E861" s="28">
        <v>0</v>
      </c>
      <c r="F861" s="32">
        <f t="shared" si="161"/>
        <v>2</v>
      </c>
      <c r="G861" s="29" t="s">
        <v>66</v>
      </c>
      <c r="H861" s="29"/>
      <c r="I861" s="29"/>
      <c r="J861" s="33"/>
      <c r="K861" s="34">
        <f t="shared" si="162"/>
        <v>0</v>
      </c>
      <c r="L861" s="35"/>
    </row>
    <row r="862" spans="1:12" s="37" customFormat="1" x14ac:dyDescent="0.25">
      <c r="A862" s="30">
        <f>IF(F862&lt;&gt;"",1+MAX($A$7:A861),"")</f>
        <v>730</v>
      </c>
      <c r="B862" s="31"/>
      <c r="C862" s="50" t="s">
        <v>802</v>
      </c>
      <c r="D862" s="46">
        <v>2</v>
      </c>
      <c r="E862" s="28">
        <v>0</v>
      </c>
      <c r="F862" s="32">
        <f t="shared" si="161"/>
        <v>2</v>
      </c>
      <c r="G862" s="29" t="s">
        <v>66</v>
      </c>
      <c r="H862" s="29"/>
      <c r="I862" s="29"/>
      <c r="J862" s="33"/>
      <c r="K862" s="34">
        <f t="shared" si="162"/>
        <v>0</v>
      </c>
      <c r="L862" s="35"/>
    </row>
    <row r="863" spans="1:12" s="37" customFormat="1" x14ac:dyDescent="0.25">
      <c r="A863" s="30">
        <f>IF(F863&lt;&gt;"",1+MAX($A$7:A862),"")</f>
        <v>731</v>
      </c>
      <c r="B863" s="31"/>
      <c r="C863" s="50" t="s">
        <v>913</v>
      </c>
      <c r="D863" s="46">
        <v>3</v>
      </c>
      <c r="E863" s="28">
        <v>0</v>
      </c>
      <c r="F863" s="32">
        <f t="shared" si="161"/>
        <v>3</v>
      </c>
      <c r="G863" s="29" t="s">
        <v>66</v>
      </c>
      <c r="H863" s="29"/>
      <c r="I863" s="29"/>
      <c r="J863" s="33"/>
      <c r="K863" s="34">
        <f t="shared" si="162"/>
        <v>0</v>
      </c>
      <c r="L863" s="35"/>
    </row>
    <row r="864" spans="1:12" s="37" customFormat="1" x14ac:dyDescent="0.25">
      <c r="A864" s="30">
        <f>IF(F864&lt;&gt;"",1+MAX($A$7:A863),"")</f>
        <v>732</v>
      </c>
      <c r="B864" s="31"/>
      <c r="C864" s="50" t="s">
        <v>803</v>
      </c>
      <c r="D864" s="46">
        <v>4</v>
      </c>
      <c r="E864" s="28">
        <v>0</v>
      </c>
      <c r="F864" s="32">
        <f t="shared" si="161"/>
        <v>4</v>
      </c>
      <c r="G864" s="29" t="s">
        <v>66</v>
      </c>
      <c r="H864" s="29"/>
      <c r="I864" s="29"/>
      <c r="J864" s="33"/>
      <c r="K864" s="34">
        <f t="shared" si="162"/>
        <v>0</v>
      </c>
      <c r="L864" s="35"/>
    </row>
    <row r="865" spans="1:12" s="37" customFormat="1" x14ac:dyDescent="0.25">
      <c r="A865" s="30">
        <f>IF(F865&lt;&gt;"",1+MAX($A$7:A864),"")</f>
        <v>733</v>
      </c>
      <c r="B865" s="31"/>
      <c r="C865" s="50" t="s">
        <v>804</v>
      </c>
      <c r="D865" s="46">
        <v>2</v>
      </c>
      <c r="E865" s="28">
        <v>0</v>
      </c>
      <c r="F865" s="32">
        <f t="shared" si="161"/>
        <v>2</v>
      </c>
      <c r="G865" s="29" t="s">
        <v>66</v>
      </c>
      <c r="H865" s="29"/>
      <c r="I865" s="29"/>
      <c r="J865" s="33"/>
      <c r="K865" s="34">
        <f t="shared" si="162"/>
        <v>0</v>
      </c>
      <c r="L865" s="35"/>
    </row>
    <row r="866" spans="1:12" s="37" customFormat="1" x14ac:dyDescent="0.25">
      <c r="A866" s="30">
        <f>IF(F866&lt;&gt;"",1+MAX($A$7:A865),"")</f>
        <v>734</v>
      </c>
      <c r="B866" s="31"/>
      <c r="C866" s="50" t="s">
        <v>805</v>
      </c>
      <c r="D866" s="46">
        <v>4</v>
      </c>
      <c r="E866" s="28">
        <v>0</v>
      </c>
      <c r="F866" s="32">
        <f t="shared" si="161"/>
        <v>4</v>
      </c>
      <c r="G866" s="29" t="s">
        <v>66</v>
      </c>
      <c r="H866" s="29"/>
      <c r="I866" s="29"/>
      <c r="J866" s="33"/>
      <c r="K866" s="34">
        <f t="shared" si="162"/>
        <v>0</v>
      </c>
      <c r="L866" s="35"/>
    </row>
    <row r="867" spans="1:12" s="37" customFormat="1" x14ac:dyDescent="0.25">
      <c r="A867" s="30">
        <f>IF(F867&lt;&gt;"",1+MAX($A$7:A866),"")</f>
        <v>735</v>
      </c>
      <c r="B867" s="31"/>
      <c r="C867" s="50" t="s">
        <v>806</v>
      </c>
      <c r="D867" s="46">
        <v>1</v>
      </c>
      <c r="E867" s="28">
        <v>0</v>
      </c>
      <c r="F867" s="32">
        <f t="shared" si="161"/>
        <v>1</v>
      </c>
      <c r="G867" s="29" t="s">
        <v>66</v>
      </c>
      <c r="H867" s="29"/>
      <c r="I867" s="29"/>
      <c r="J867" s="33"/>
      <c r="K867" s="34">
        <f t="shared" si="162"/>
        <v>0</v>
      </c>
      <c r="L867" s="35"/>
    </row>
    <row r="868" spans="1:12" s="37" customFormat="1" x14ac:dyDescent="0.25">
      <c r="A868" s="30">
        <f>IF(F868&lt;&gt;"",1+MAX($A$7:A867),"")</f>
        <v>736</v>
      </c>
      <c r="B868" s="31"/>
      <c r="C868" s="50" t="s">
        <v>807</v>
      </c>
      <c r="D868" s="46">
        <v>2</v>
      </c>
      <c r="E868" s="28">
        <v>0</v>
      </c>
      <c r="F868" s="32">
        <f t="shared" si="161"/>
        <v>2</v>
      </c>
      <c r="G868" s="29" t="s">
        <v>66</v>
      </c>
      <c r="H868" s="29"/>
      <c r="I868" s="29"/>
      <c r="J868" s="33"/>
      <c r="K868" s="34">
        <f t="shared" si="162"/>
        <v>0</v>
      </c>
      <c r="L868" s="35"/>
    </row>
    <row r="869" spans="1:12" s="37" customFormat="1" x14ac:dyDescent="0.25">
      <c r="A869" s="30">
        <f>IF(F869&lt;&gt;"",1+MAX($A$7:A868),"")</f>
        <v>737</v>
      </c>
      <c r="B869" s="31"/>
      <c r="C869" s="50" t="s">
        <v>1053</v>
      </c>
      <c r="D869" s="46">
        <v>10</v>
      </c>
      <c r="E869" s="28">
        <v>0</v>
      </c>
      <c r="F869" s="32">
        <f t="shared" si="161"/>
        <v>10</v>
      </c>
      <c r="G869" s="29" t="s">
        <v>66</v>
      </c>
      <c r="H869" s="29"/>
      <c r="I869" s="29"/>
      <c r="J869" s="33"/>
      <c r="K869" s="34">
        <f t="shared" si="162"/>
        <v>0</v>
      </c>
      <c r="L869" s="35"/>
    </row>
    <row r="870" spans="1:12" s="37" customFormat="1" x14ac:dyDescent="0.25">
      <c r="A870" s="30">
        <f>IF(F870&lt;&gt;"",1+MAX($A$7:A869),"")</f>
        <v>738</v>
      </c>
      <c r="B870" s="31"/>
      <c r="C870" s="50" t="s">
        <v>808</v>
      </c>
      <c r="D870" s="46">
        <v>2</v>
      </c>
      <c r="E870" s="28">
        <v>0</v>
      </c>
      <c r="F870" s="32">
        <f t="shared" si="161"/>
        <v>2</v>
      </c>
      <c r="G870" s="29" t="s">
        <v>66</v>
      </c>
      <c r="H870" s="29"/>
      <c r="I870" s="29"/>
      <c r="J870" s="33"/>
      <c r="K870" s="34">
        <f t="shared" si="162"/>
        <v>0</v>
      </c>
      <c r="L870" s="35"/>
    </row>
    <row r="871" spans="1:12" s="37" customFormat="1" x14ac:dyDescent="0.25">
      <c r="A871" s="30">
        <f>IF(F871&lt;&gt;"",1+MAX($A$7:A870),"")</f>
        <v>739</v>
      </c>
      <c r="B871" s="31"/>
      <c r="C871" s="50" t="s">
        <v>914</v>
      </c>
      <c r="D871" s="46">
        <v>8</v>
      </c>
      <c r="E871" s="28">
        <v>0</v>
      </c>
      <c r="F871" s="32">
        <f t="shared" si="161"/>
        <v>8</v>
      </c>
      <c r="G871" s="29" t="s">
        <v>66</v>
      </c>
      <c r="H871" s="29"/>
      <c r="I871" s="29"/>
      <c r="J871" s="33"/>
      <c r="K871" s="34">
        <f t="shared" si="162"/>
        <v>0</v>
      </c>
      <c r="L871" s="35"/>
    </row>
    <row r="872" spans="1:12" s="37" customFormat="1" x14ac:dyDescent="0.25">
      <c r="A872" s="30">
        <f>IF(F872&lt;&gt;"",1+MAX($A$7:A871),"")</f>
        <v>740</v>
      </c>
      <c r="B872" s="31"/>
      <c r="C872" s="50" t="s">
        <v>970</v>
      </c>
      <c r="D872" s="46">
        <v>6</v>
      </c>
      <c r="E872" s="28">
        <v>0</v>
      </c>
      <c r="F872" s="32">
        <f t="shared" si="161"/>
        <v>6</v>
      </c>
      <c r="G872" s="29" t="s">
        <v>66</v>
      </c>
      <c r="H872" s="29"/>
      <c r="I872" s="29"/>
      <c r="J872" s="33"/>
      <c r="K872" s="34">
        <f t="shared" si="162"/>
        <v>0</v>
      </c>
      <c r="L872" s="35"/>
    </row>
    <row r="873" spans="1:12" s="37" customFormat="1" x14ac:dyDescent="0.25">
      <c r="A873" s="30">
        <f>IF(F873&lt;&gt;"",1+MAX($A$7:A872),"")</f>
        <v>741</v>
      </c>
      <c r="B873" s="31"/>
      <c r="C873" s="50" t="s">
        <v>915</v>
      </c>
      <c r="D873" s="46">
        <v>4</v>
      </c>
      <c r="E873" s="28">
        <v>0</v>
      </c>
      <c r="F873" s="32">
        <f t="shared" si="161"/>
        <v>4</v>
      </c>
      <c r="G873" s="29" t="s">
        <v>66</v>
      </c>
      <c r="H873" s="29"/>
      <c r="I873" s="29"/>
      <c r="J873" s="33"/>
      <c r="K873" s="34">
        <f t="shared" si="162"/>
        <v>0</v>
      </c>
      <c r="L873" s="35"/>
    </row>
    <row r="874" spans="1:12" s="37" customFormat="1" x14ac:dyDescent="0.25">
      <c r="A874" s="30">
        <f>IF(F874&lt;&gt;"",1+MAX($A$7:A873),"")</f>
        <v>742</v>
      </c>
      <c r="B874" s="31"/>
      <c r="C874" s="50" t="s">
        <v>809</v>
      </c>
      <c r="D874" s="46">
        <v>1</v>
      </c>
      <c r="E874" s="28">
        <v>0</v>
      </c>
      <c r="F874" s="32">
        <f t="shared" si="161"/>
        <v>1</v>
      </c>
      <c r="G874" s="29" t="s">
        <v>66</v>
      </c>
      <c r="H874" s="29"/>
      <c r="I874" s="29"/>
      <c r="J874" s="33"/>
      <c r="K874" s="34">
        <f t="shared" si="162"/>
        <v>0</v>
      </c>
      <c r="L874" s="35"/>
    </row>
    <row r="875" spans="1:12" s="37" customFormat="1" x14ac:dyDescent="0.25">
      <c r="A875" s="30">
        <f>IF(F875&lt;&gt;"",1+MAX($A$7:A874),"")</f>
        <v>743</v>
      </c>
      <c r="B875" s="31"/>
      <c r="C875" s="50" t="s">
        <v>916</v>
      </c>
      <c r="D875" s="46">
        <v>4</v>
      </c>
      <c r="E875" s="28">
        <v>0</v>
      </c>
      <c r="F875" s="32">
        <f t="shared" si="161"/>
        <v>4</v>
      </c>
      <c r="G875" s="29" t="s">
        <v>66</v>
      </c>
      <c r="H875" s="29"/>
      <c r="I875" s="29"/>
      <c r="J875" s="33"/>
      <c r="K875" s="34">
        <f t="shared" si="162"/>
        <v>0</v>
      </c>
      <c r="L875" s="35"/>
    </row>
    <row r="876" spans="1:12" s="37" customFormat="1" x14ac:dyDescent="0.25">
      <c r="A876" s="30">
        <f>IF(F876&lt;&gt;"",1+MAX($A$7:A875),"")</f>
        <v>744</v>
      </c>
      <c r="B876" s="31"/>
      <c r="C876" s="50" t="s">
        <v>917</v>
      </c>
      <c r="D876" s="46">
        <v>2</v>
      </c>
      <c r="E876" s="28">
        <v>0</v>
      </c>
      <c r="F876" s="32">
        <f t="shared" si="161"/>
        <v>2</v>
      </c>
      <c r="G876" s="29" t="s">
        <v>66</v>
      </c>
      <c r="H876" s="29"/>
      <c r="I876" s="29"/>
      <c r="J876" s="33"/>
      <c r="K876" s="34">
        <f t="shared" si="162"/>
        <v>0</v>
      </c>
      <c r="L876" s="35"/>
    </row>
    <row r="877" spans="1:12" s="37" customFormat="1" x14ac:dyDescent="0.25">
      <c r="A877" s="30">
        <f>IF(F877&lt;&gt;"",1+MAX($A$7:A876),"")</f>
        <v>745</v>
      </c>
      <c r="B877" s="31"/>
      <c r="C877" s="50" t="s">
        <v>810</v>
      </c>
      <c r="D877" s="46">
        <v>1</v>
      </c>
      <c r="E877" s="28">
        <v>0</v>
      </c>
      <c r="F877" s="32">
        <f t="shared" si="161"/>
        <v>1</v>
      </c>
      <c r="G877" s="29" t="s">
        <v>66</v>
      </c>
      <c r="H877" s="29"/>
      <c r="I877" s="29"/>
      <c r="J877" s="33"/>
      <c r="K877" s="34">
        <f t="shared" si="162"/>
        <v>0</v>
      </c>
      <c r="L877" s="35"/>
    </row>
    <row r="878" spans="1:12" s="37" customFormat="1" x14ac:dyDescent="0.25">
      <c r="A878" s="30">
        <f>IF(F878&lt;&gt;"",1+MAX($A$7:A877),"")</f>
        <v>746</v>
      </c>
      <c r="B878" s="31"/>
      <c r="C878" s="50" t="s">
        <v>918</v>
      </c>
      <c r="D878" s="46">
        <v>2</v>
      </c>
      <c r="E878" s="28">
        <v>0</v>
      </c>
      <c r="F878" s="32">
        <f t="shared" si="161"/>
        <v>2</v>
      </c>
      <c r="G878" s="29" t="s">
        <v>66</v>
      </c>
      <c r="H878" s="29"/>
      <c r="I878" s="29"/>
      <c r="J878" s="33"/>
      <c r="K878" s="34">
        <f t="shared" si="162"/>
        <v>0</v>
      </c>
      <c r="L878" s="35"/>
    </row>
    <row r="879" spans="1:12" s="37" customFormat="1" x14ac:dyDescent="0.25">
      <c r="A879" s="30">
        <f>IF(F879&lt;&gt;"",1+MAX($A$7:A878),"")</f>
        <v>747</v>
      </c>
      <c r="B879" s="31"/>
      <c r="C879" s="50" t="s">
        <v>811</v>
      </c>
      <c r="D879" s="46">
        <v>1</v>
      </c>
      <c r="E879" s="28">
        <v>0</v>
      </c>
      <c r="F879" s="32">
        <f t="shared" si="161"/>
        <v>1</v>
      </c>
      <c r="G879" s="29" t="s">
        <v>66</v>
      </c>
      <c r="H879" s="29"/>
      <c r="I879" s="29"/>
      <c r="J879" s="33"/>
      <c r="K879" s="34">
        <f t="shared" si="162"/>
        <v>0</v>
      </c>
      <c r="L879" s="35"/>
    </row>
    <row r="880" spans="1:12" s="37" customFormat="1" x14ac:dyDescent="0.25">
      <c r="A880" s="30">
        <f>IF(F880&lt;&gt;"",1+MAX($A$7:A879),"")</f>
        <v>748</v>
      </c>
      <c r="B880" s="31"/>
      <c r="C880" s="50" t="s">
        <v>999</v>
      </c>
      <c r="D880" s="46">
        <v>4</v>
      </c>
      <c r="E880" s="28">
        <v>0</v>
      </c>
      <c r="F880" s="32">
        <f t="shared" si="161"/>
        <v>4</v>
      </c>
      <c r="G880" s="29" t="s">
        <v>66</v>
      </c>
      <c r="H880" s="29"/>
      <c r="I880" s="29"/>
      <c r="J880" s="33"/>
      <c r="K880" s="34">
        <f t="shared" si="162"/>
        <v>0</v>
      </c>
      <c r="L880" s="35"/>
    </row>
    <row r="881" spans="1:12" s="37" customFormat="1" x14ac:dyDescent="0.25">
      <c r="A881" s="30">
        <f>IF(F881&lt;&gt;"",1+MAX($A$7:A880),"")</f>
        <v>749</v>
      </c>
      <c r="B881" s="31"/>
      <c r="C881" s="50" t="s">
        <v>919</v>
      </c>
      <c r="D881" s="46">
        <v>2</v>
      </c>
      <c r="E881" s="28">
        <v>0</v>
      </c>
      <c r="F881" s="32">
        <f t="shared" si="161"/>
        <v>2</v>
      </c>
      <c r="G881" s="29" t="s">
        <v>66</v>
      </c>
      <c r="H881" s="29"/>
      <c r="I881" s="29"/>
      <c r="J881" s="33"/>
      <c r="K881" s="34">
        <f t="shared" si="162"/>
        <v>0</v>
      </c>
      <c r="L881" s="35"/>
    </row>
    <row r="882" spans="1:12" s="37" customFormat="1" x14ac:dyDescent="0.25">
      <c r="A882" s="30">
        <f>IF(F882&lt;&gt;"",1+MAX($A$7:A881),"")</f>
        <v>750</v>
      </c>
      <c r="B882" s="31"/>
      <c r="C882" s="50" t="s">
        <v>812</v>
      </c>
      <c r="D882" s="46">
        <v>1</v>
      </c>
      <c r="E882" s="28">
        <v>0</v>
      </c>
      <c r="F882" s="32">
        <f t="shared" si="161"/>
        <v>1</v>
      </c>
      <c r="G882" s="29" t="s">
        <v>66</v>
      </c>
      <c r="H882" s="29"/>
      <c r="I882" s="29"/>
      <c r="J882" s="33"/>
      <c r="K882" s="34">
        <f t="shared" si="162"/>
        <v>0</v>
      </c>
      <c r="L882" s="35"/>
    </row>
    <row r="883" spans="1:12" s="37" customFormat="1" x14ac:dyDescent="0.25">
      <c r="A883" s="30">
        <f>IF(F883&lt;&gt;"",1+MAX($A$7:A882),"")</f>
        <v>751</v>
      </c>
      <c r="B883" s="31"/>
      <c r="C883" s="50" t="s">
        <v>813</v>
      </c>
      <c r="D883" s="46">
        <v>2</v>
      </c>
      <c r="E883" s="28">
        <v>0</v>
      </c>
      <c r="F883" s="32">
        <f t="shared" si="161"/>
        <v>2</v>
      </c>
      <c r="G883" s="29" t="s">
        <v>66</v>
      </c>
      <c r="H883" s="29"/>
      <c r="I883" s="29"/>
      <c r="J883" s="33"/>
      <c r="K883" s="34">
        <f t="shared" si="162"/>
        <v>0</v>
      </c>
      <c r="L883" s="35"/>
    </row>
    <row r="884" spans="1:12" s="37" customFormat="1" x14ac:dyDescent="0.25">
      <c r="A884" s="30">
        <f>IF(F884&lt;&gt;"",1+MAX($A$7:A883),"")</f>
        <v>752</v>
      </c>
      <c r="B884" s="31"/>
      <c r="C884" s="50" t="s">
        <v>814</v>
      </c>
      <c r="D884" s="46">
        <v>1</v>
      </c>
      <c r="E884" s="28">
        <v>0</v>
      </c>
      <c r="F884" s="32">
        <f t="shared" si="161"/>
        <v>1</v>
      </c>
      <c r="G884" s="29" t="s">
        <v>66</v>
      </c>
      <c r="H884" s="29"/>
      <c r="I884" s="29"/>
      <c r="J884" s="33"/>
      <c r="K884" s="34">
        <f t="shared" si="162"/>
        <v>0</v>
      </c>
      <c r="L884" s="35"/>
    </row>
    <row r="885" spans="1:12" s="37" customFormat="1" x14ac:dyDescent="0.25">
      <c r="A885" s="30">
        <f>IF(F885&lt;&gt;"",1+MAX($A$7:A884),"")</f>
        <v>753</v>
      </c>
      <c r="B885" s="31"/>
      <c r="C885" s="50" t="s">
        <v>920</v>
      </c>
      <c r="D885" s="46">
        <v>2</v>
      </c>
      <c r="E885" s="28">
        <v>0</v>
      </c>
      <c r="F885" s="32">
        <f t="shared" si="161"/>
        <v>2</v>
      </c>
      <c r="G885" s="29" t="s">
        <v>66</v>
      </c>
      <c r="H885" s="29"/>
      <c r="I885" s="29"/>
      <c r="J885" s="33"/>
      <c r="K885" s="34">
        <f t="shared" si="162"/>
        <v>0</v>
      </c>
      <c r="L885" s="35"/>
    </row>
    <row r="886" spans="1:12" s="37" customFormat="1" x14ac:dyDescent="0.25">
      <c r="A886" s="30">
        <f>IF(F886&lt;&gt;"",1+MAX($A$7:A885),"")</f>
        <v>754</v>
      </c>
      <c r="B886" s="31"/>
      <c r="C886" s="50" t="s">
        <v>921</v>
      </c>
      <c r="D886" s="46">
        <v>6</v>
      </c>
      <c r="E886" s="28">
        <v>0</v>
      </c>
      <c r="F886" s="32">
        <f t="shared" si="161"/>
        <v>6</v>
      </c>
      <c r="G886" s="29" t="s">
        <v>66</v>
      </c>
      <c r="H886" s="29"/>
      <c r="I886" s="29"/>
      <c r="J886" s="33"/>
      <c r="K886" s="34">
        <f t="shared" si="162"/>
        <v>0</v>
      </c>
      <c r="L886" s="35"/>
    </row>
    <row r="887" spans="1:12" s="37" customFormat="1" x14ac:dyDescent="0.25">
      <c r="A887" s="30">
        <f>IF(F887&lt;&gt;"",1+MAX($A$7:A886),"")</f>
        <v>755</v>
      </c>
      <c r="B887" s="31"/>
      <c r="C887" s="50" t="s">
        <v>815</v>
      </c>
      <c r="D887" s="46">
        <v>1</v>
      </c>
      <c r="E887" s="28">
        <v>0</v>
      </c>
      <c r="F887" s="32">
        <f t="shared" si="161"/>
        <v>1</v>
      </c>
      <c r="G887" s="29" t="s">
        <v>66</v>
      </c>
      <c r="H887" s="29"/>
      <c r="I887" s="29"/>
      <c r="J887" s="33"/>
      <c r="K887" s="34">
        <f t="shared" si="162"/>
        <v>0</v>
      </c>
      <c r="L887" s="35"/>
    </row>
    <row r="888" spans="1:12" s="37" customFormat="1" x14ac:dyDescent="0.25">
      <c r="A888" s="30">
        <f>IF(F888&lt;&gt;"",1+MAX($A$7:A887),"")</f>
        <v>756</v>
      </c>
      <c r="B888" s="31"/>
      <c r="C888" s="50" t="s">
        <v>922</v>
      </c>
      <c r="D888" s="46">
        <v>2</v>
      </c>
      <c r="E888" s="28">
        <v>0</v>
      </c>
      <c r="F888" s="32">
        <f t="shared" si="161"/>
        <v>2</v>
      </c>
      <c r="G888" s="29" t="s">
        <v>66</v>
      </c>
      <c r="H888" s="29"/>
      <c r="I888" s="29"/>
      <c r="J888" s="33"/>
      <c r="K888" s="34">
        <f t="shared" si="162"/>
        <v>0</v>
      </c>
      <c r="L888" s="35"/>
    </row>
    <row r="889" spans="1:12" s="37" customFormat="1" x14ac:dyDescent="0.25">
      <c r="A889" s="30">
        <f>IF(F889&lt;&gt;"",1+MAX($A$7:A888),"")</f>
        <v>757</v>
      </c>
      <c r="B889" s="31"/>
      <c r="C889" s="50" t="s">
        <v>816</v>
      </c>
      <c r="D889" s="46">
        <v>1</v>
      </c>
      <c r="E889" s="28">
        <v>0</v>
      </c>
      <c r="F889" s="32">
        <f t="shared" si="161"/>
        <v>1</v>
      </c>
      <c r="G889" s="29" t="s">
        <v>66</v>
      </c>
      <c r="H889" s="29"/>
      <c r="I889" s="29"/>
      <c r="J889" s="33"/>
      <c r="K889" s="34">
        <f t="shared" si="162"/>
        <v>0</v>
      </c>
      <c r="L889" s="35"/>
    </row>
    <row r="890" spans="1:12" s="37" customFormat="1" x14ac:dyDescent="0.25">
      <c r="A890" s="30">
        <f>IF(F890&lt;&gt;"",1+MAX($A$7:A889),"")</f>
        <v>758</v>
      </c>
      <c r="B890" s="31"/>
      <c r="C890" s="50" t="s">
        <v>923</v>
      </c>
      <c r="D890" s="46">
        <v>2</v>
      </c>
      <c r="E890" s="28">
        <v>0</v>
      </c>
      <c r="F890" s="32">
        <f t="shared" si="161"/>
        <v>2</v>
      </c>
      <c r="G890" s="29" t="s">
        <v>66</v>
      </c>
      <c r="H890" s="29"/>
      <c r="I890" s="29"/>
      <c r="J890" s="33"/>
      <c r="K890" s="34">
        <f t="shared" si="162"/>
        <v>0</v>
      </c>
      <c r="L890" s="35"/>
    </row>
    <row r="891" spans="1:12" s="37" customFormat="1" x14ac:dyDescent="0.25">
      <c r="A891" s="30">
        <f>IF(F891&lt;&gt;"",1+MAX($A$7:A890),"")</f>
        <v>759</v>
      </c>
      <c r="B891" s="31"/>
      <c r="C891" s="50" t="s">
        <v>817</v>
      </c>
      <c r="D891" s="46">
        <v>1</v>
      </c>
      <c r="E891" s="28">
        <v>0</v>
      </c>
      <c r="F891" s="32">
        <f t="shared" si="161"/>
        <v>1</v>
      </c>
      <c r="G891" s="29" t="s">
        <v>66</v>
      </c>
      <c r="H891" s="29"/>
      <c r="I891" s="29"/>
      <c r="J891" s="33"/>
      <c r="K891" s="34">
        <f t="shared" si="162"/>
        <v>0</v>
      </c>
      <c r="L891" s="35"/>
    </row>
    <row r="892" spans="1:12" s="37" customFormat="1" x14ac:dyDescent="0.25">
      <c r="A892" s="30">
        <f>IF(F892&lt;&gt;"",1+MAX($A$7:A891),"")</f>
        <v>760</v>
      </c>
      <c r="B892" s="31"/>
      <c r="C892" s="50" t="s">
        <v>818</v>
      </c>
      <c r="D892" s="46">
        <v>2</v>
      </c>
      <c r="E892" s="28">
        <v>0</v>
      </c>
      <c r="F892" s="32">
        <f t="shared" si="161"/>
        <v>2</v>
      </c>
      <c r="G892" s="29" t="s">
        <v>66</v>
      </c>
      <c r="H892" s="29"/>
      <c r="I892" s="29"/>
      <c r="J892" s="33"/>
      <c r="K892" s="34">
        <f t="shared" si="162"/>
        <v>0</v>
      </c>
      <c r="L892" s="35"/>
    </row>
    <row r="893" spans="1:12" s="37" customFormat="1" x14ac:dyDescent="0.25">
      <c r="A893" s="30">
        <f>IF(F893&lt;&gt;"",1+MAX($A$7:A892),"")</f>
        <v>761</v>
      </c>
      <c r="B893" s="31"/>
      <c r="C893" s="50" t="s">
        <v>924</v>
      </c>
      <c r="D893" s="46">
        <v>2</v>
      </c>
      <c r="E893" s="28">
        <v>0</v>
      </c>
      <c r="F893" s="32">
        <f t="shared" si="161"/>
        <v>2</v>
      </c>
      <c r="G893" s="29" t="s">
        <v>66</v>
      </c>
      <c r="H893" s="29"/>
      <c r="I893" s="29"/>
      <c r="J893" s="33"/>
      <c r="K893" s="34">
        <f t="shared" si="162"/>
        <v>0</v>
      </c>
      <c r="L893" s="35"/>
    </row>
    <row r="894" spans="1:12" s="37" customFormat="1" x14ac:dyDescent="0.25">
      <c r="A894" s="30">
        <f>IF(F894&lt;&gt;"",1+MAX($A$7:A893),"")</f>
        <v>762</v>
      </c>
      <c r="B894" s="31"/>
      <c r="C894" s="50" t="s">
        <v>819</v>
      </c>
      <c r="D894" s="46">
        <v>1</v>
      </c>
      <c r="E894" s="28">
        <v>0</v>
      </c>
      <c r="F894" s="32">
        <f t="shared" si="161"/>
        <v>1</v>
      </c>
      <c r="G894" s="29" t="s">
        <v>66</v>
      </c>
      <c r="H894" s="29"/>
      <c r="I894" s="29"/>
      <c r="J894" s="33"/>
      <c r="K894" s="34">
        <f t="shared" si="162"/>
        <v>0</v>
      </c>
      <c r="L894" s="35"/>
    </row>
    <row r="895" spans="1:12" s="37" customFormat="1" x14ac:dyDescent="0.25">
      <c r="A895" s="30">
        <f>IF(F895&lt;&gt;"",1+MAX($A$7:A894),"")</f>
        <v>763</v>
      </c>
      <c r="B895" s="31"/>
      <c r="C895" s="50" t="s">
        <v>925</v>
      </c>
      <c r="D895" s="46">
        <v>2</v>
      </c>
      <c r="E895" s="28">
        <v>0</v>
      </c>
      <c r="F895" s="32">
        <f t="shared" si="161"/>
        <v>2</v>
      </c>
      <c r="G895" s="29" t="s">
        <v>66</v>
      </c>
      <c r="H895" s="29"/>
      <c r="I895" s="29"/>
      <c r="J895" s="33"/>
      <c r="K895" s="34">
        <f t="shared" si="162"/>
        <v>0</v>
      </c>
      <c r="L895" s="35"/>
    </row>
    <row r="896" spans="1:12" s="37" customFormat="1" x14ac:dyDescent="0.25">
      <c r="A896" s="30">
        <f>IF(F896&lt;&gt;"",1+MAX($A$7:A895),"")</f>
        <v>764</v>
      </c>
      <c r="B896" s="31"/>
      <c r="C896" s="50" t="s">
        <v>820</v>
      </c>
      <c r="D896" s="46">
        <v>2</v>
      </c>
      <c r="E896" s="28">
        <v>0</v>
      </c>
      <c r="F896" s="32">
        <f t="shared" si="161"/>
        <v>2</v>
      </c>
      <c r="G896" s="29" t="s">
        <v>66</v>
      </c>
      <c r="H896" s="29"/>
      <c r="I896" s="29"/>
      <c r="J896" s="33"/>
      <c r="K896" s="34">
        <f t="shared" si="162"/>
        <v>0</v>
      </c>
      <c r="L896" s="35"/>
    </row>
    <row r="897" spans="1:12" s="37" customFormat="1" x14ac:dyDescent="0.25">
      <c r="A897" s="30">
        <f>IF(F897&lt;&gt;"",1+MAX($A$7:A896),"")</f>
        <v>765</v>
      </c>
      <c r="B897" s="31"/>
      <c r="C897" s="50" t="s">
        <v>821</v>
      </c>
      <c r="D897" s="46">
        <v>3</v>
      </c>
      <c r="E897" s="28">
        <v>0</v>
      </c>
      <c r="F897" s="32">
        <f t="shared" si="161"/>
        <v>3</v>
      </c>
      <c r="G897" s="29" t="s">
        <v>66</v>
      </c>
      <c r="H897" s="29"/>
      <c r="I897" s="29"/>
      <c r="J897" s="33"/>
      <c r="K897" s="34">
        <f t="shared" si="162"/>
        <v>0</v>
      </c>
      <c r="L897" s="35"/>
    </row>
    <row r="898" spans="1:12" s="37" customFormat="1" x14ac:dyDescent="0.25">
      <c r="A898" s="30">
        <f>IF(F898&lt;&gt;"",1+MAX($A$7:A897),"")</f>
        <v>766</v>
      </c>
      <c r="B898" s="31"/>
      <c r="C898" s="50" t="s">
        <v>1000</v>
      </c>
      <c r="D898" s="46">
        <v>4</v>
      </c>
      <c r="E898" s="28">
        <v>0</v>
      </c>
      <c r="F898" s="32">
        <f t="shared" si="161"/>
        <v>4</v>
      </c>
      <c r="G898" s="29" t="s">
        <v>66</v>
      </c>
      <c r="H898" s="29"/>
      <c r="I898" s="29"/>
      <c r="J898" s="33"/>
      <c r="K898" s="34">
        <f t="shared" si="162"/>
        <v>0</v>
      </c>
      <c r="L898" s="35"/>
    </row>
    <row r="899" spans="1:12" s="37" customFormat="1" x14ac:dyDescent="0.25">
      <c r="A899" s="30">
        <f>IF(F899&lt;&gt;"",1+MAX($A$7:A898),"")</f>
        <v>767</v>
      </c>
      <c r="B899" s="31"/>
      <c r="C899" s="50" t="s">
        <v>926</v>
      </c>
      <c r="D899" s="46">
        <v>2</v>
      </c>
      <c r="E899" s="28">
        <v>0</v>
      </c>
      <c r="F899" s="32">
        <f t="shared" si="161"/>
        <v>2</v>
      </c>
      <c r="G899" s="29" t="s">
        <v>66</v>
      </c>
      <c r="H899" s="29"/>
      <c r="I899" s="29"/>
      <c r="J899" s="33"/>
      <c r="K899" s="34">
        <f t="shared" si="162"/>
        <v>0</v>
      </c>
      <c r="L899" s="35"/>
    </row>
    <row r="900" spans="1:12" s="37" customFormat="1" x14ac:dyDescent="0.25">
      <c r="A900" s="30">
        <f>IF(F900&lt;&gt;"",1+MAX($A$7:A899),"")</f>
        <v>768</v>
      </c>
      <c r="B900" s="31"/>
      <c r="C900" s="50" t="s">
        <v>1076</v>
      </c>
      <c r="D900" s="46">
        <v>24</v>
      </c>
      <c r="E900" s="28">
        <v>0</v>
      </c>
      <c r="F900" s="32">
        <f t="shared" si="161"/>
        <v>24</v>
      </c>
      <c r="G900" s="29" t="s">
        <v>66</v>
      </c>
      <c r="H900" s="29"/>
      <c r="I900" s="29"/>
      <c r="J900" s="33"/>
      <c r="K900" s="34">
        <f t="shared" si="162"/>
        <v>0</v>
      </c>
      <c r="L900" s="35"/>
    </row>
    <row r="901" spans="1:12" s="37" customFormat="1" x14ac:dyDescent="0.25">
      <c r="A901" s="30">
        <f>IF(F901&lt;&gt;"",1+MAX($A$7:A900),"")</f>
        <v>769</v>
      </c>
      <c r="B901" s="31"/>
      <c r="C901" s="50" t="s">
        <v>927</v>
      </c>
      <c r="D901" s="46">
        <v>2</v>
      </c>
      <c r="E901" s="28">
        <v>0</v>
      </c>
      <c r="F901" s="32">
        <f t="shared" si="161"/>
        <v>2</v>
      </c>
      <c r="G901" s="29" t="s">
        <v>66</v>
      </c>
      <c r="H901" s="29"/>
      <c r="I901" s="29"/>
      <c r="J901" s="33"/>
      <c r="K901" s="34">
        <f t="shared" si="162"/>
        <v>0</v>
      </c>
      <c r="L901" s="35"/>
    </row>
    <row r="902" spans="1:12" s="37" customFormat="1" x14ac:dyDescent="0.25">
      <c r="A902" s="30">
        <f>IF(F902&lt;&gt;"",1+MAX($A$7:A901),"")</f>
        <v>770</v>
      </c>
      <c r="B902" s="31"/>
      <c r="C902" s="50" t="s">
        <v>1001</v>
      </c>
      <c r="D902" s="46">
        <v>9</v>
      </c>
      <c r="E902" s="28">
        <v>0</v>
      </c>
      <c r="F902" s="32">
        <f t="shared" si="161"/>
        <v>9</v>
      </c>
      <c r="G902" s="29" t="s">
        <v>66</v>
      </c>
      <c r="H902" s="29"/>
      <c r="I902" s="29"/>
      <c r="J902" s="33"/>
      <c r="K902" s="34">
        <f t="shared" si="162"/>
        <v>0</v>
      </c>
      <c r="L902" s="35"/>
    </row>
    <row r="903" spans="1:12" s="37" customFormat="1" x14ac:dyDescent="0.25">
      <c r="A903" s="30">
        <f>IF(F903&lt;&gt;"",1+MAX($A$7:A902),"")</f>
        <v>771</v>
      </c>
      <c r="B903" s="31"/>
      <c r="C903" s="50" t="s">
        <v>822</v>
      </c>
      <c r="D903" s="46">
        <v>1</v>
      </c>
      <c r="E903" s="28">
        <v>0</v>
      </c>
      <c r="F903" s="32">
        <f t="shared" ref="F903:F937" si="163">D903*(1+E903)</f>
        <v>1</v>
      </c>
      <c r="G903" s="29" t="s">
        <v>66</v>
      </c>
      <c r="H903" s="29"/>
      <c r="I903" s="29"/>
      <c r="J903" s="33"/>
      <c r="K903" s="34">
        <f t="shared" ref="K903:K937" si="164">J903*F903</f>
        <v>0</v>
      </c>
      <c r="L903" s="35"/>
    </row>
    <row r="904" spans="1:12" s="37" customFormat="1" x14ac:dyDescent="0.25">
      <c r="A904" s="30">
        <f>IF(F904&lt;&gt;"",1+MAX($A$7:A903),"")</f>
        <v>772</v>
      </c>
      <c r="B904" s="31"/>
      <c r="C904" s="50" t="s">
        <v>823</v>
      </c>
      <c r="D904" s="46">
        <v>4</v>
      </c>
      <c r="E904" s="28">
        <v>0</v>
      </c>
      <c r="F904" s="32">
        <f t="shared" si="163"/>
        <v>4</v>
      </c>
      <c r="G904" s="29" t="s">
        <v>66</v>
      </c>
      <c r="H904" s="29"/>
      <c r="I904" s="29"/>
      <c r="J904" s="33"/>
      <c r="K904" s="34">
        <f t="shared" si="164"/>
        <v>0</v>
      </c>
      <c r="L904" s="35"/>
    </row>
    <row r="905" spans="1:12" s="37" customFormat="1" x14ac:dyDescent="0.25">
      <c r="A905" s="30">
        <f>IF(F905&lt;&gt;"",1+MAX($A$7:A904),"")</f>
        <v>773</v>
      </c>
      <c r="B905" s="31"/>
      <c r="C905" s="50" t="s">
        <v>971</v>
      </c>
      <c r="D905" s="46">
        <v>6</v>
      </c>
      <c r="E905" s="28">
        <v>0</v>
      </c>
      <c r="F905" s="32">
        <f t="shared" si="163"/>
        <v>6</v>
      </c>
      <c r="G905" s="29" t="s">
        <v>66</v>
      </c>
      <c r="H905" s="29"/>
      <c r="I905" s="29"/>
      <c r="J905" s="33"/>
      <c r="K905" s="34">
        <f t="shared" si="164"/>
        <v>0</v>
      </c>
      <c r="L905" s="35"/>
    </row>
    <row r="906" spans="1:12" s="37" customFormat="1" x14ac:dyDescent="0.25">
      <c r="A906" s="30">
        <f>IF(F906&lt;&gt;"",1+MAX($A$7:A905),"")</f>
        <v>774</v>
      </c>
      <c r="B906" s="31"/>
      <c r="C906" s="50" t="s">
        <v>928</v>
      </c>
      <c r="D906" s="46">
        <v>16</v>
      </c>
      <c r="E906" s="28">
        <v>0</v>
      </c>
      <c r="F906" s="32">
        <f t="shared" si="163"/>
        <v>16</v>
      </c>
      <c r="G906" s="29" t="s">
        <v>66</v>
      </c>
      <c r="H906" s="29"/>
      <c r="I906" s="29"/>
      <c r="J906" s="33"/>
      <c r="K906" s="34">
        <f t="shared" si="164"/>
        <v>0</v>
      </c>
      <c r="L906" s="35"/>
    </row>
    <row r="907" spans="1:12" s="37" customFormat="1" x14ac:dyDescent="0.25">
      <c r="A907" s="30">
        <f>IF(F907&lt;&gt;"",1+MAX($A$7:A906),"")</f>
        <v>775</v>
      </c>
      <c r="B907" s="31"/>
      <c r="C907" s="50" t="s">
        <v>1002</v>
      </c>
      <c r="D907" s="46">
        <v>5</v>
      </c>
      <c r="E907" s="28">
        <v>0</v>
      </c>
      <c r="F907" s="32">
        <f t="shared" si="163"/>
        <v>5</v>
      </c>
      <c r="G907" s="29" t="s">
        <v>66</v>
      </c>
      <c r="H907" s="29"/>
      <c r="I907" s="29"/>
      <c r="J907" s="33"/>
      <c r="K907" s="34">
        <f t="shared" si="164"/>
        <v>0</v>
      </c>
      <c r="L907" s="35"/>
    </row>
    <row r="908" spans="1:12" s="37" customFormat="1" x14ac:dyDescent="0.25">
      <c r="A908" s="30">
        <f>IF(F908&lt;&gt;"",1+MAX($A$7:A907),"")</f>
        <v>776</v>
      </c>
      <c r="B908" s="31"/>
      <c r="C908" s="50" t="s">
        <v>824</v>
      </c>
      <c r="D908" s="46">
        <v>1</v>
      </c>
      <c r="E908" s="28">
        <v>0</v>
      </c>
      <c r="F908" s="32">
        <f t="shared" si="163"/>
        <v>1</v>
      </c>
      <c r="G908" s="29" t="s">
        <v>66</v>
      </c>
      <c r="H908" s="29"/>
      <c r="I908" s="29"/>
      <c r="J908" s="33"/>
      <c r="K908" s="34">
        <f t="shared" si="164"/>
        <v>0</v>
      </c>
      <c r="L908" s="35"/>
    </row>
    <row r="909" spans="1:12" s="37" customFormat="1" x14ac:dyDescent="0.25">
      <c r="A909" s="30">
        <f>IF(F909&lt;&gt;"",1+MAX($A$7:A908),"")</f>
        <v>777</v>
      </c>
      <c r="B909" s="31"/>
      <c r="C909" s="50" t="s">
        <v>825</v>
      </c>
      <c r="D909" s="46">
        <v>2</v>
      </c>
      <c r="E909" s="28">
        <v>0</v>
      </c>
      <c r="F909" s="32">
        <f t="shared" si="163"/>
        <v>2</v>
      </c>
      <c r="G909" s="29" t="s">
        <v>66</v>
      </c>
      <c r="H909" s="29"/>
      <c r="I909" s="29"/>
      <c r="J909" s="33"/>
      <c r="K909" s="34">
        <f t="shared" si="164"/>
        <v>0</v>
      </c>
      <c r="L909" s="35"/>
    </row>
    <row r="910" spans="1:12" s="37" customFormat="1" x14ac:dyDescent="0.25">
      <c r="A910" s="30">
        <f>IF(F910&lt;&gt;"",1+MAX($A$7:A909),"")</f>
        <v>778</v>
      </c>
      <c r="B910" s="31"/>
      <c r="C910" s="50" t="s">
        <v>826</v>
      </c>
      <c r="D910" s="46">
        <v>1</v>
      </c>
      <c r="E910" s="28">
        <v>0</v>
      </c>
      <c r="F910" s="32">
        <f t="shared" si="163"/>
        <v>1</v>
      </c>
      <c r="G910" s="29" t="s">
        <v>66</v>
      </c>
      <c r="H910" s="29"/>
      <c r="I910" s="29"/>
      <c r="J910" s="33"/>
      <c r="K910" s="34">
        <f t="shared" si="164"/>
        <v>0</v>
      </c>
      <c r="L910" s="35"/>
    </row>
    <row r="911" spans="1:12" s="37" customFormat="1" x14ac:dyDescent="0.25">
      <c r="A911" s="30">
        <f>IF(F911&lt;&gt;"",1+MAX($A$7:A910),"")</f>
        <v>779</v>
      </c>
      <c r="B911" s="31"/>
      <c r="C911" s="50" t="s">
        <v>827</v>
      </c>
      <c r="D911" s="46">
        <v>4</v>
      </c>
      <c r="E911" s="28">
        <v>0</v>
      </c>
      <c r="F911" s="32">
        <f t="shared" si="163"/>
        <v>4</v>
      </c>
      <c r="G911" s="29" t="s">
        <v>66</v>
      </c>
      <c r="H911" s="29"/>
      <c r="I911" s="29"/>
      <c r="J911" s="33"/>
      <c r="K911" s="34">
        <f t="shared" si="164"/>
        <v>0</v>
      </c>
      <c r="L911" s="35"/>
    </row>
    <row r="912" spans="1:12" s="37" customFormat="1" x14ac:dyDescent="0.25">
      <c r="A912" s="30">
        <f>IF(F912&lt;&gt;"",1+MAX($A$7:A911),"")</f>
        <v>780</v>
      </c>
      <c r="B912" s="31"/>
      <c r="C912" s="50" t="s">
        <v>828</v>
      </c>
      <c r="D912" s="46">
        <v>1</v>
      </c>
      <c r="E912" s="28">
        <v>0</v>
      </c>
      <c r="F912" s="32">
        <f t="shared" si="163"/>
        <v>1</v>
      </c>
      <c r="G912" s="29" t="s">
        <v>66</v>
      </c>
      <c r="H912" s="29"/>
      <c r="I912" s="29"/>
      <c r="J912" s="33"/>
      <c r="K912" s="34">
        <f t="shared" si="164"/>
        <v>0</v>
      </c>
      <c r="L912" s="35"/>
    </row>
    <row r="913" spans="1:12" s="37" customFormat="1" x14ac:dyDescent="0.25">
      <c r="A913" s="30">
        <f>IF(F913&lt;&gt;"",1+MAX($A$7:A912),"")</f>
        <v>781</v>
      </c>
      <c r="B913" s="31"/>
      <c r="C913" s="50" t="s">
        <v>829</v>
      </c>
      <c r="D913" s="46">
        <v>1</v>
      </c>
      <c r="E913" s="28">
        <v>0</v>
      </c>
      <c r="F913" s="32">
        <f t="shared" si="163"/>
        <v>1</v>
      </c>
      <c r="G913" s="29" t="s">
        <v>66</v>
      </c>
      <c r="H913" s="29"/>
      <c r="I913" s="29"/>
      <c r="J913" s="33"/>
      <c r="K913" s="34">
        <f t="shared" si="164"/>
        <v>0</v>
      </c>
      <c r="L913" s="35"/>
    </row>
    <row r="914" spans="1:12" s="37" customFormat="1" x14ac:dyDescent="0.25">
      <c r="A914" s="30">
        <f>IF(F914&lt;&gt;"",1+MAX($A$7:A913),"")</f>
        <v>782</v>
      </c>
      <c r="B914" s="31"/>
      <c r="C914" s="50" t="s">
        <v>830</v>
      </c>
      <c r="D914" s="46">
        <v>1</v>
      </c>
      <c r="E914" s="28">
        <v>0</v>
      </c>
      <c r="F914" s="32">
        <f t="shared" si="163"/>
        <v>1</v>
      </c>
      <c r="G914" s="29" t="s">
        <v>66</v>
      </c>
      <c r="H914" s="29"/>
      <c r="I914" s="29"/>
      <c r="J914" s="33"/>
      <c r="K914" s="34">
        <f t="shared" si="164"/>
        <v>0</v>
      </c>
      <c r="L914" s="35"/>
    </row>
    <row r="915" spans="1:12" s="37" customFormat="1" x14ac:dyDescent="0.25">
      <c r="A915" s="30">
        <f>IF(F915&lt;&gt;"",1+MAX($A$7:A914),"")</f>
        <v>783</v>
      </c>
      <c r="B915" s="31"/>
      <c r="C915" s="50" t="s">
        <v>1003</v>
      </c>
      <c r="D915" s="46">
        <v>4</v>
      </c>
      <c r="E915" s="28">
        <v>0</v>
      </c>
      <c r="F915" s="32">
        <f t="shared" si="163"/>
        <v>4</v>
      </c>
      <c r="G915" s="29" t="s">
        <v>66</v>
      </c>
      <c r="H915" s="29"/>
      <c r="I915" s="29"/>
      <c r="J915" s="33"/>
      <c r="K915" s="34">
        <f t="shared" si="164"/>
        <v>0</v>
      </c>
      <c r="L915" s="35"/>
    </row>
    <row r="916" spans="1:12" s="37" customFormat="1" x14ac:dyDescent="0.25">
      <c r="A916" s="30">
        <f>IF(F916&lt;&gt;"",1+MAX($A$7:A915),"")</f>
        <v>784</v>
      </c>
      <c r="B916" s="31"/>
      <c r="C916" s="50" t="s">
        <v>1004</v>
      </c>
      <c r="D916" s="46">
        <v>4</v>
      </c>
      <c r="E916" s="28">
        <v>0</v>
      </c>
      <c r="F916" s="32">
        <f t="shared" si="163"/>
        <v>4</v>
      </c>
      <c r="G916" s="29" t="s">
        <v>66</v>
      </c>
      <c r="H916" s="29"/>
      <c r="I916" s="29"/>
      <c r="J916" s="33"/>
      <c r="K916" s="34">
        <f t="shared" si="164"/>
        <v>0</v>
      </c>
      <c r="L916" s="35"/>
    </row>
    <row r="917" spans="1:12" s="37" customFormat="1" x14ac:dyDescent="0.25">
      <c r="A917" s="30">
        <f>IF(F917&lt;&gt;"",1+MAX($A$7:A916),"")</f>
        <v>785</v>
      </c>
      <c r="B917" s="31"/>
      <c r="C917" s="50" t="s">
        <v>831</v>
      </c>
      <c r="D917" s="46">
        <v>2</v>
      </c>
      <c r="E917" s="28">
        <v>0</v>
      </c>
      <c r="F917" s="32">
        <f t="shared" si="163"/>
        <v>2</v>
      </c>
      <c r="G917" s="29" t="s">
        <v>66</v>
      </c>
      <c r="H917" s="29"/>
      <c r="I917" s="29"/>
      <c r="J917" s="33"/>
      <c r="K917" s="34">
        <f t="shared" si="164"/>
        <v>0</v>
      </c>
      <c r="L917" s="35"/>
    </row>
    <row r="918" spans="1:12" s="37" customFormat="1" x14ac:dyDescent="0.25">
      <c r="A918" s="30">
        <f>IF(F918&lt;&gt;"",1+MAX($A$7:A917),"")</f>
        <v>786</v>
      </c>
      <c r="B918" s="31"/>
      <c r="C918" s="50" t="s">
        <v>832</v>
      </c>
      <c r="D918" s="46">
        <v>2</v>
      </c>
      <c r="E918" s="28">
        <v>0</v>
      </c>
      <c r="F918" s="32">
        <f t="shared" si="163"/>
        <v>2</v>
      </c>
      <c r="G918" s="29" t="s">
        <v>66</v>
      </c>
      <c r="H918" s="29"/>
      <c r="I918" s="29"/>
      <c r="J918" s="33"/>
      <c r="K918" s="34">
        <f t="shared" si="164"/>
        <v>0</v>
      </c>
      <c r="L918" s="35"/>
    </row>
    <row r="919" spans="1:12" s="37" customFormat="1" x14ac:dyDescent="0.25">
      <c r="A919" s="30">
        <f>IF(F919&lt;&gt;"",1+MAX($A$7:A918),"")</f>
        <v>787</v>
      </c>
      <c r="B919" s="31"/>
      <c r="C919" s="50" t="s">
        <v>833</v>
      </c>
      <c r="D919" s="46">
        <v>2</v>
      </c>
      <c r="E919" s="28">
        <v>0</v>
      </c>
      <c r="F919" s="32">
        <f t="shared" si="163"/>
        <v>2</v>
      </c>
      <c r="G919" s="29" t="s">
        <v>66</v>
      </c>
      <c r="H919" s="29"/>
      <c r="I919" s="29"/>
      <c r="J919" s="33"/>
      <c r="K919" s="34">
        <f t="shared" si="164"/>
        <v>0</v>
      </c>
      <c r="L919" s="35"/>
    </row>
    <row r="920" spans="1:12" s="37" customFormat="1" x14ac:dyDescent="0.25">
      <c r="A920" s="30">
        <f>IF(F920&lt;&gt;"",1+MAX($A$7:A919),"")</f>
        <v>788</v>
      </c>
      <c r="B920" s="31"/>
      <c r="C920" s="50" t="s">
        <v>834</v>
      </c>
      <c r="D920" s="46">
        <v>2</v>
      </c>
      <c r="E920" s="28">
        <v>0</v>
      </c>
      <c r="F920" s="32">
        <f t="shared" si="163"/>
        <v>2</v>
      </c>
      <c r="G920" s="29" t="s">
        <v>66</v>
      </c>
      <c r="H920" s="29"/>
      <c r="I920" s="29"/>
      <c r="J920" s="33"/>
      <c r="K920" s="34">
        <f t="shared" si="164"/>
        <v>0</v>
      </c>
      <c r="L920" s="35"/>
    </row>
    <row r="921" spans="1:12" s="37" customFormat="1" x14ac:dyDescent="0.25">
      <c r="A921" s="30">
        <f>IF(F921&lt;&gt;"",1+MAX($A$7:A920),"")</f>
        <v>789</v>
      </c>
      <c r="B921" s="31"/>
      <c r="C921" s="50" t="s">
        <v>1033</v>
      </c>
      <c r="D921" s="46">
        <v>8</v>
      </c>
      <c r="E921" s="28">
        <v>0</v>
      </c>
      <c r="F921" s="32">
        <f t="shared" si="163"/>
        <v>8</v>
      </c>
      <c r="G921" s="29" t="s">
        <v>66</v>
      </c>
      <c r="H921" s="29"/>
      <c r="I921" s="29"/>
      <c r="J921" s="33"/>
      <c r="K921" s="34">
        <f t="shared" si="164"/>
        <v>0</v>
      </c>
      <c r="L921" s="35"/>
    </row>
    <row r="922" spans="1:12" s="37" customFormat="1" x14ac:dyDescent="0.25">
      <c r="A922" s="30">
        <f>IF(F922&lt;&gt;"",1+MAX($A$7:A921),"")</f>
        <v>790</v>
      </c>
      <c r="B922" s="31"/>
      <c r="C922" s="50" t="s">
        <v>929</v>
      </c>
      <c r="D922" s="46">
        <v>4</v>
      </c>
      <c r="E922" s="28">
        <v>0</v>
      </c>
      <c r="F922" s="32">
        <f t="shared" si="163"/>
        <v>4</v>
      </c>
      <c r="G922" s="29" t="s">
        <v>66</v>
      </c>
      <c r="H922" s="29"/>
      <c r="I922" s="29"/>
      <c r="J922" s="33"/>
      <c r="K922" s="34">
        <f t="shared" si="164"/>
        <v>0</v>
      </c>
      <c r="L922" s="35"/>
    </row>
    <row r="923" spans="1:12" s="37" customFormat="1" x14ac:dyDescent="0.25">
      <c r="A923" s="30">
        <f>IF(F923&lt;&gt;"",1+MAX($A$7:A922),"")</f>
        <v>791</v>
      </c>
      <c r="B923" s="31"/>
      <c r="C923" s="50" t="s">
        <v>835</v>
      </c>
      <c r="D923" s="46">
        <v>1</v>
      </c>
      <c r="E923" s="28">
        <v>0</v>
      </c>
      <c r="F923" s="32">
        <f t="shared" si="163"/>
        <v>1</v>
      </c>
      <c r="G923" s="29" t="s">
        <v>66</v>
      </c>
      <c r="H923" s="29"/>
      <c r="I923" s="29"/>
      <c r="J923" s="33"/>
      <c r="K923" s="34">
        <f t="shared" si="164"/>
        <v>0</v>
      </c>
      <c r="L923" s="35"/>
    </row>
    <row r="924" spans="1:12" s="37" customFormat="1" x14ac:dyDescent="0.25">
      <c r="A924" s="30">
        <f>IF(F924&lt;&gt;"",1+MAX($A$7:A923),"")</f>
        <v>792</v>
      </c>
      <c r="B924" s="31"/>
      <c r="C924" s="50" t="s">
        <v>930</v>
      </c>
      <c r="D924" s="46">
        <v>2</v>
      </c>
      <c r="E924" s="28">
        <v>0</v>
      </c>
      <c r="F924" s="32">
        <f t="shared" si="163"/>
        <v>2</v>
      </c>
      <c r="G924" s="29" t="s">
        <v>66</v>
      </c>
      <c r="H924" s="29"/>
      <c r="I924" s="29"/>
      <c r="J924" s="33"/>
      <c r="K924" s="34">
        <f t="shared" si="164"/>
        <v>0</v>
      </c>
      <c r="L924" s="35"/>
    </row>
    <row r="925" spans="1:12" s="37" customFormat="1" x14ac:dyDescent="0.25">
      <c r="A925" s="30">
        <f>IF(F925&lt;&gt;"",1+MAX($A$7:A924),"")</f>
        <v>793</v>
      </c>
      <c r="B925" s="31"/>
      <c r="C925" s="50" t="s">
        <v>931</v>
      </c>
      <c r="D925" s="46">
        <v>20</v>
      </c>
      <c r="E925" s="28">
        <v>0</v>
      </c>
      <c r="F925" s="32">
        <f t="shared" si="163"/>
        <v>20</v>
      </c>
      <c r="G925" s="29" t="s">
        <v>66</v>
      </c>
      <c r="H925" s="29"/>
      <c r="I925" s="29"/>
      <c r="J925" s="33"/>
      <c r="K925" s="34">
        <f t="shared" si="164"/>
        <v>0</v>
      </c>
      <c r="L925" s="35"/>
    </row>
    <row r="926" spans="1:12" s="37" customFormat="1" x14ac:dyDescent="0.25">
      <c r="A926" s="30">
        <f>IF(F926&lt;&gt;"",1+MAX($A$7:A925),"")</f>
        <v>794</v>
      </c>
      <c r="B926" s="31"/>
      <c r="C926" s="50" t="s">
        <v>932</v>
      </c>
      <c r="D926" s="46">
        <v>10</v>
      </c>
      <c r="E926" s="28">
        <v>0</v>
      </c>
      <c r="F926" s="32">
        <f t="shared" si="163"/>
        <v>10</v>
      </c>
      <c r="G926" s="29" t="s">
        <v>66</v>
      </c>
      <c r="H926" s="29"/>
      <c r="I926" s="29"/>
      <c r="J926" s="33"/>
      <c r="K926" s="34">
        <f t="shared" si="164"/>
        <v>0</v>
      </c>
      <c r="L926" s="35"/>
    </row>
    <row r="927" spans="1:12" s="37" customFormat="1" x14ac:dyDescent="0.25">
      <c r="A927" s="30">
        <f>IF(F927&lt;&gt;"",1+MAX($A$7:A926),"")</f>
        <v>795</v>
      </c>
      <c r="B927" s="31"/>
      <c r="C927" s="50" t="s">
        <v>836</v>
      </c>
      <c r="D927" s="46">
        <v>8</v>
      </c>
      <c r="E927" s="28">
        <v>0</v>
      </c>
      <c r="F927" s="32">
        <f t="shared" si="163"/>
        <v>8</v>
      </c>
      <c r="G927" s="29" t="s">
        <v>66</v>
      </c>
      <c r="H927" s="29"/>
      <c r="I927" s="29"/>
      <c r="J927" s="33"/>
      <c r="K927" s="34">
        <f t="shared" si="164"/>
        <v>0</v>
      </c>
      <c r="L927" s="35"/>
    </row>
    <row r="928" spans="1:12" s="37" customFormat="1" x14ac:dyDescent="0.25">
      <c r="A928" s="30">
        <f>IF(F928&lt;&gt;"",1+MAX($A$7:A927),"")</f>
        <v>796</v>
      </c>
      <c r="B928" s="31"/>
      <c r="C928" s="50" t="s">
        <v>933</v>
      </c>
      <c r="D928" s="46">
        <v>8</v>
      </c>
      <c r="E928" s="28">
        <v>0</v>
      </c>
      <c r="F928" s="32">
        <f t="shared" si="163"/>
        <v>8</v>
      </c>
      <c r="G928" s="29" t="s">
        <v>66</v>
      </c>
      <c r="H928" s="29"/>
      <c r="I928" s="29"/>
      <c r="J928" s="33"/>
      <c r="K928" s="34">
        <f t="shared" si="164"/>
        <v>0</v>
      </c>
      <c r="L928" s="35"/>
    </row>
    <row r="929" spans="1:12" s="37" customFormat="1" x14ac:dyDescent="0.25">
      <c r="A929" s="30">
        <f>IF(F929&lt;&gt;"",1+MAX($A$7:A928),"")</f>
        <v>797</v>
      </c>
      <c r="B929" s="31"/>
      <c r="C929" s="50" t="s">
        <v>934</v>
      </c>
      <c r="D929" s="46">
        <v>48</v>
      </c>
      <c r="E929" s="28">
        <v>0</v>
      </c>
      <c r="F929" s="32">
        <f t="shared" si="163"/>
        <v>48</v>
      </c>
      <c r="G929" s="29" t="s">
        <v>66</v>
      </c>
      <c r="H929" s="29"/>
      <c r="I929" s="29"/>
      <c r="J929" s="33"/>
      <c r="K929" s="34">
        <f t="shared" si="164"/>
        <v>0</v>
      </c>
      <c r="L929" s="35"/>
    </row>
    <row r="930" spans="1:12" s="37" customFormat="1" x14ac:dyDescent="0.25">
      <c r="A930" s="30">
        <f>IF(F930&lt;&gt;"",1+MAX($A$7:A929),"")</f>
        <v>798</v>
      </c>
      <c r="B930" s="31"/>
      <c r="C930" s="50" t="s">
        <v>935</v>
      </c>
      <c r="D930" s="46">
        <v>4</v>
      </c>
      <c r="E930" s="28">
        <v>0</v>
      </c>
      <c r="F930" s="32">
        <f t="shared" si="163"/>
        <v>4</v>
      </c>
      <c r="G930" s="29" t="s">
        <v>66</v>
      </c>
      <c r="H930" s="29"/>
      <c r="I930" s="29"/>
      <c r="J930" s="33"/>
      <c r="K930" s="34">
        <f t="shared" si="164"/>
        <v>0</v>
      </c>
      <c r="L930" s="35"/>
    </row>
    <row r="931" spans="1:12" s="37" customFormat="1" x14ac:dyDescent="0.25">
      <c r="A931" s="30">
        <f>IF(F931&lt;&gt;"",1+MAX($A$7:A930),"")</f>
        <v>799</v>
      </c>
      <c r="B931" s="31"/>
      <c r="C931" s="50" t="s">
        <v>837</v>
      </c>
      <c r="D931" s="46">
        <v>1</v>
      </c>
      <c r="E931" s="28">
        <v>0</v>
      </c>
      <c r="F931" s="32">
        <f t="shared" si="163"/>
        <v>1</v>
      </c>
      <c r="G931" s="29" t="s">
        <v>66</v>
      </c>
      <c r="H931" s="29"/>
      <c r="I931" s="29"/>
      <c r="J931" s="33"/>
      <c r="K931" s="34">
        <f t="shared" si="164"/>
        <v>0</v>
      </c>
      <c r="L931" s="35"/>
    </row>
    <row r="932" spans="1:12" s="37" customFormat="1" x14ac:dyDescent="0.25">
      <c r="A932" s="30">
        <f>IF(F932&lt;&gt;"",1+MAX($A$7:A931),"")</f>
        <v>800</v>
      </c>
      <c r="B932" s="31"/>
      <c r="C932" s="50" t="s">
        <v>838</v>
      </c>
      <c r="D932" s="46">
        <v>2</v>
      </c>
      <c r="E932" s="28">
        <v>0</v>
      </c>
      <c r="F932" s="32">
        <f t="shared" si="163"/>
        <v>2</v>
      </c>
      <c r="G932" s="29" t="s">
        <v>66</v>
      </c>
      <c r="H932" s="29"/>
      <c r="I932" s="29"/>
      <c r="J932" s="33"/>
      <c r="K932" s="34">
        <f t="shared" si="164"/>
        <v>0</v>
      </c>
      <c r="L932" s="35"/>
    </row>
    <row r="933" spans="1:12" s="37" customFormat="1" x14ac:dyDescent="0.25">
      <c r="A933" s="30">
        <f>IF(F933&lt;&gt;"",1+MAX($A$7:A932),"")</f>
        <v>801</v>
      </c>
      <c r="B933" s="31"/>
      <c r="C933" s="50" t="s">
        <v>839</v>
      </c>
      <c r="D933" s="46">
        <v>2</v>
      </c>
      <c r="E933" s="28">
        <v>0</v>
      </c>
      <c r="F933" s="32">
        <f t="shared" si="163"/>
        <v>2</v>
      </c>
      <c r="G933" s="29" t="s">
        <v>66</v>
      </c>
      <c r="H933" s="29"/>
      <c r="I933" s="29"/>
      <c r="J933" s="33"/>
      <c r="K933" s="34">
        <f t="shared" si="164"/>
        <v>0</v>
      </c>
      <c r="L933" s="35"/>
    </row>
    <row r="934" spans="1:12" s="37" customFormat="1" x14ac:dyDescent="0.25">
      <c r="A934" s="30">
        <f>IF(F934&lt;&gt;"",1+MAX($A$7:A933),"")</f>
        <v>802</v>
      </c>
      <c r="B934" s="31"/>
      <c r="C934" s="50" t="s">
        <v>840</v>
      </c>
      <c r="D934" s="46">
        <v>18</v>
      </c>
      <c r="E934" s="28">
        <v>0</v>
      </c>
      <c r="F934" s="32">
        <f t="shared" si="163"/>
        <v>18</v>
      </c>
      <c r="G934" s="29" t="s">
        <v>66</v>
      </c>
      <c r="H934" s="29"/>
      <c r="I934" s="29"/>
      <c r="J934" s="33"/>
      <c r="K934" s="34">
        <f t="shared" si="164"/>
        <v>0</v>
      </c>
      <c r="L934" s="35"/>
    </row>
    <row r="935" spans="1:12" s="37" customFormat="1" x14ac:dyDescent="0.25">
      <c r="A935" s="30">
        <f>IF(F935&lt;&gt;"",1+MAX($A$7:A934),"")</f>
        <v>803</v>
      </c>
      <c r="B935" s="31"/>
      <c r="C935" s="50" t="s">
        <v>841</v>
      </c>
      <c r="D935" s="46">
        <v>5</v>
      </c>
      <c r="E935" s="28">
        <v>0</v>
      </c>
      <c r="F935" s="32">
        <f t="shared" si="163"/>
        <v>5</v>
      </c>
      <c r="G935" s="29" t="s">
        <v>66</v>
      </c>
      <c r="H935" s="29"/>
      <c r="I935" s="29"/>
      <c r="J935" s="33"/>
      <c r="K935" s="34">
        <f t="shared" si="164"/>
        <v>0</v>
      </c>
      <c r="L935" s="35"/>
    </row>
    <row r="936" spans="1:12" s="37" customFormat="1" x14ac:dyDescent="0.25">
      <c r="A936" s="30">
        <f>IF(F936&lt;&gt;"",1+MAX($A$7:A935),"")</f>
        <v>804</v>
      </c>
      <c r="B936" s="31"/>
      <c r="C936" s="50" t="s">
        <v>842</v>
      </c>
      <c r="D936" s="46">
        <v>1</v>
      </c>
      <c r="E936" s="28">
        <v>0</v>
      </c>
      <c r="F936" s="32">
        <f t="shared" si="163"/>
        <v>1</v>
      </c>
      <c r="G936" s="29" t="s">
        <v>66</v>
      </c>
      <c r="H936" s="29"/>
      <c r="I936" s="29"/>
      <c r="J936" s="33"/>
      <c r="K936" s="34">
        <f t="shared" si="164"/>
        <v>0</v>
      </c>
      <c r="L936" s="35"/>
    </row>
    <row r="937" spans="1:12" s="37" customFormat="1" x14ac:dyDescent="0.25">
      <c r="A937" s="30">
        <f>IF(F937&lt;&gt;"",1+MAX($A$7:A936),"")</f>
        <v>805</v>
      </c>
      <c r="B937" s="31"/>
      <c r="C937" s="50" t="s">
        <v>843</v>
      </c>
      <c r="D937" s="46">
        <v>1</v>
      </c>
      <c r="E937" s="28">
        <v>0</v>
      </c>
      <c r="F937" s="32">
        <f t="shared" si="163"/>
        <v>1</v>
      </c>
      <c r="G937" s="29" t="s">
        <v>66</v>
      </c>
      <c r="H937" s="29"/>
      <c r="I937" s="29"/>
      <c r="J937" s="33"/>
      <c r="K937" s="34">
        <f t="shared" si="164"/>
        <v>0</v>
      </c>
      <c r="L937" s="35"/>
    </row>
    <row r="938" spans="1:12" s="37" customFormat="1" x14ac:dyDescent="0.25">
      <c r="A938" s="30" t="str">
        <f>IF(F938&lt;&gt;"",1+MAX($A$7:A937),"")</f>
        <v/>
      </c>
      <c r="B938" s="31"/>
      <c r="C938" s="49"/>
      <c r="D938" s="44"/>
      <c r="E938" s="28"/>
      <c r="F938" s="32"/>
      <c r="G938" s="29"/>
      <c r="H938" s="29"/>
      <c r="I938" s="29"/>
      <c r="J938" s="33"/>
      <c r="K938" s="34"/>
      <c r="L938" s="35"/>
    </row>
    <row r="939" spans="1:12" s="37" customFormat="1" x14ac:dyDescent="0.25">
      <c r="A939" s="30">
        <f>IF(F939&lt;&gt;"",1+MAX($A$7:A938),"")</f>
        <v>806</v>
      </c>
      <c r="B939" s="31"/>
      <c r="C939" s="49" t="s">
        <v>110</v>
      </c>
      <c r="D939" s="44">
        <v>51</v>
      </c>
      <c r="E939" s="28">
        <v>0</v>
      </c>
      <c r="F939" s="32">
        <f t="shared" ref="F939" si="165">D939*(1+E939)</f>
        <v>51</v>
      </c>
      <c r="G939" s="29" t="s">
        <v>66</v>
      </c>
      <c r="H939" s="29"/>
      <c r="I939" s="29"/>
      <c r="J939" s="33"/>
      <c r="K939" s="34">
        <f t="shared" ref="K939" si="166">J939*F939</f>
        <v>0</v>
      </c>
      <c r="L939" s="35"/>
    </row>
    <row r="940" spans="1:12" s="37" customFormat="1" x14ac:dyDescent="0.25">
      <c r="A940" s="30" t="str">
        <f>IF(F940&lt;&gt;"",1+MAX($A$7:A939),"")</f>
        <v/>
      </c>
      <c r="B940" s="31"/>
      <c r="C940" s="49"/>
      <c r="D940" s="44"/>
      <c r="E940" s="28"/>
      <c r="F940" s="32"/>
      <c r="G940" s="29"/>
      <c r="H940" s="29"/>
      <c r="I940" s="29"/>
      <c r="J940" s="33"/>
      <c r="K940" s="34"/>
      <c r="L940" s="35"/>
    </row>
    <row r="941" spans="1:12" s="37" customFormat="1" x14ac:dyDescent="0.25">
      <c r="A941" s="30" t="str">
        <f>IF(F941&lt;&gt;"",1+MAX($A$7:A940),"")</f>
        <v/>
      </c>
      <c r="B941" s="31"/>
      <c r="C941" s="49" t="s">
        <v>111</v>
      </c>
      <c r="D941" s="44"/>
      <c r="E941" s="28"/>
      <c r="F941" s="32"/>
      <c r="G941" s="29"/>
      <c r="H941" s="29"/>
      <c r="I941" s="29"/>
      <c r="J941" s="33"/>
      <c r="K941" s="34"/>
      <c r="L941" s="35"/>
    </row>
    <row r="942" spans="1:12" s="37" customFormat="1" x14ac:dyDescent="0.25">
      <c r="A942" s="30">
        <f>IF(F942&lt;&gt;"",1+MAX($A$7:A941),"")</f>
        <v>807</v>
      </c>
      <c r="B942" s="31"/>
      <c r="C942" s="43" t="s">
        <v>112</v>
      </c>
      <c r="D942" s="44">
        <v>408</v>
      </c>
      <c r="E942" s="28">
        <v>0</v>
      </c>
      <c r="F942" s="32">
        <f t="shared" ref="F942:F945" si="167">D942*(1+E942)</f>
        <v>408</v>
      </c>
      <c r="G942" s="29" t="s">
        <v>66</v>
      </c>
      <c r="H942" s="29"/>
      <c r="I942" s="29"/>
      <c r="J942" s="33"/>
      <c r="K942" s="34">
        <f t="shared" ref="K942:K945" si="168">J942*F942</f>
        <v>0</v>
      </c>
      <c r="L942" s="35"/>
    </row>
    <row r="943" spans="1:12" s="37" customFormat="1" x14ac:dyDescent="0.25">
      <c r="A943" s="30">
        <f>IF(F943&lt;&gt;"",1+MAX($A$7:A942),"")</f>
        <v>808</v>
      </c>
      <c r="B943" s="31"/>
      <c r="C943" s="43" t="s">
        <v>113</v>
      </c>
      <c r="D943" s="44">
        <v>23</v>
      </c>
      <c r="E943" s="28">
        <v>0</v>
      </c>
      <c r="F943" s="32">
        <f t="shared" si="167"/>
        <v>23</v>
      </c>
      <c r="G943" s="29" t="s">
        <v>66</v>
      </c>
      <c r="H943" s="29"/>
      <c r="I943" s="29"/>
      <c r="J943" s="33"/>
      <c r="K943" s="34">
        <f t="shared" si="168"/>
        <v>0</v>
      </c>
      <c r="L943" s="35"/>
    </row>
    <row r="944" spans="1:12" s="37" customFormat="1" x14ac:dyDescent="0.25">
      <c r="A944" s="30">
        <f>IF(F944&lt;&gt;"",1+MAX($A$7:A943),"")</f>
        <v>809</v>
      </c>
      <c r="B944" s="31"/>
      <c r="C944" s="43" t="s">
        <v>114</v>
      </c>
      <c r="D944" s="44">
        <v>1</v>
      </c>
      <c r="E944" s="28">
        <v>0</v>
      </c>
      <c r="F944" s="32">
        <f t="shared" si="167"/>
        <v>1</v>
      </c>
      <c r="G944" s="29" t="s">
        <v>66</v>
      </c>
      <c r="H944" s="29"/>
      <c r="I944" s="29"/>
      <c r="J944" s="33"/>
      <c r="K944" s="34">
        <f t="shared" si="168"/>
        <v>0</v>
      </c>
      <c r="L944" s="35"/>
    </row>
    <row r="945" spans="1:12" s="37" customFormat="1" x14ac:dyDescent="0.25">
      <c r="A945" s="30">
        <f>IF(F945&lt;&gt;"",1+MAX($A$7:A944),"")</f>
        <v>810</v>
      </c>
      <c r="B945" s="31"/>
      <c r="C945" s="43" t="s">
        <v>115</v>
      </c>
      <c r="D945" s="44">
        <v>1</v>
      </c>
      <c r="E945" s="28">
        <v>0</v>
      </c>
      <c r="F945" s="32">
        <f t="shared" si="167"/>
        <v>1</v>
      </c>
      <c r="G945" s="29" t="s">
        <v>66</v>
      </c>
      <c r="H945" s="29"/>
      <c r="I945" s="29"/>
      <c r="J945" s="33"/>
      <c r="K945" s="34">
        <f t="shared" si="168"/>
        <v>0</v>
      </c>
      <c r="L945" s="35"/>
    </row>
    <row r="946" spans="1:12" s="37" customFormat="1" x14ac:dyDescent="0.25">
      <c r="A946" s="30" t="str">
        <f>IF(F946&lt;&gt;"",1+MAX($A$7:A945),"")</f>
        <v/>
      </c>
      <c r="B946" s="31"/>
      <c r="C946" s="49"/>
      <c r="D946" s="44"/>
      <c r="E946" s="28"/>
      <c r="F946" s="32"/>
      <c r="G946" s="29"/>
      <c r="H946" s="29"/>
      <c r="I946" s="29"/>
      <c r="J946" s="33"/>
      <c r="K946" s="34"/>
      <c r="L946" s="35"/>
    </row>
    <row r="947" spans="1:12" s="37" customFormat="1" x14ac:dyDescent="0.25">
      <c r="A947" s="30" t="str">
        <f>IF(F947&lt;&gt;"",1+MAX($A$7:A946),"")</f>
        <v/>
      </c>
      <c r="B947" s="31"/>
      <c r="C947" s="49" t="s">
        <v>117</v>
      </c>
      <c r="D947" s="44"/>
      <c r="E947" s="28"/>
      <c r="F947" s="32"/>
      <c r="G947" s="29"/>
      <c r="H947" s="29"/>
      <c r="I947" s="29"/>
      <c r="J947" s="33"/>
      <c r="K947" s="34"/>
      <c r="L947" s="35"/>
    </row>
    <row r="948" spans="1:12" s="37" customFormat="1" x14ac:dyDescent="0.25">
      <c r="A948" s="30">
        <f>IF(F948&lt;&gt;"",1+MAX($A$7:A947),"")</f>
        <v>811</v>
      </c>
      <c r="B948" s="31"/>
      <c r="C948" s="50" t="s">
        <v>844</v>
      </c>
      <c r="D948" s="44">
        <v>1</v>
      </c>
      <c r="E948" s="28">
        <v>0</v>
      </c>
      <c r="F948" s="32">
        <f t="shared" ref="F948" si="169">D948*(1+E948)</f>
        <v>1</v>
      </c>
      <c r="G948" s="29" t="s">
        <v>66</v>
      </c>
      <c r="H948" s="29"/>
      <c r="I948" s="29"/>
      <c r="J948" s="33"/>
      <c r="K948" s="34">
        <f t="shared" ref="K948" si="170">J948*F948</f>
        <v>0</v>
      </c>
      <c r="L948" s="35"/>
    </row>
    <row r="949" spans="1:12" s="37" customFormat="1" x14ac:dyDescent="0.25">
      <c r="A949" s="30" t="str">
        <f>IF(F949&lt;&gt;"",1+MAX($A$7:A948),"")</f>
        <v/>
      </c>
      <c r="B949" s="31"/>
      <c r="C949" s="49"/>
      <c r="D949" s="44"/>
      <c r="E949" s="28"/>
      <c r="F949" s="32"/>
      <c r="G949" s="29"/>
      <c r="H949" s="29"/>
      <c r="I949" s="29"/>
      <c r="J949" s="33"/>
      <c r="K949" s="34"/>
      <c r="L949" s="35"/>
    </row>
    <row r="950" spans="1:12" s="37" customFormat="1" x14ac:dyDescent="0.25">
      <c r="A950" s="30" t="str">
        <f>IF(F950&lt;&gt;"",1+MAX($A$7:A949),"")</f>
        <v/>
      </c>
      <c r="B950" s="31"/>
      <c r="C950" s="49" t="s">
        <v>118</v>
      </c>
      <c r="D950" s="44"/>
      <c r="E950" s="28"/>
      <c r="F950" s="32"/>
      <c r="G950" s="29"/>
      <c r="H950" s="29"/>
      <c r="I950" s="29"/>
      <c r="J950" s="33"/>
      <c r="K950" s="34"/>
      <c r="L950" s="35"/>
    </row>
    <row r="951" spans="1:12" s="37" customFormat="1" ht="30" x14ac:dyDescent="0.25">
      <c r="A951" s="30">
        <f>IF(F951&lt;&gt;"",1+MAX($A$7:A950),"")</f>
        <v>812</v>
      </c>
      <c r="B951" s="31"/>
      <c r="C951" s="43" t="s">
        <v>119</v>
      </c>
      <c r="D951" s="44">
        <v>1</v>
      </c>
      <c r="E951" s="28">
        <v>0</v>
      </c>
      <c r="F951" s="32">
        <f t="shared" ref="F951:F955" si="171">D951*(1+E951)</f>
        <v>1</v>
      </c>
      <c r="G951" s="29" t="s">
        <v>66</v>
      </c>
      <c r="H951" s="29"/>
      <c r="I951" s="29"/>
      <c r="J951" s="33"/>
      <c r="K951" s="34">
        <f t="shared" ref="K951:K955" si="172">J951*F951</f>
        <v>0</v>
      </c>
      <c r="L951" s="35"/>
    </row>
    <row r="952" spans="1:12" s="37" customFormat="1" ht="30" x14ac:dyDescent="0.25">
      <c r="A952" s="30">
        <f>IF(F952&lt;&gt;"",1+MAX($A$7:A951),"")</f>
        <v>813</v>
      </c>
      <c r="B952" s="31"/>
      <c r="C952" s="43" t="s">
        <v>120</v>
      </c>
      <c r="D952" s="44">
        <v>1</v>
      </c>
      <c r="E952" s="28">
        <v>0</v>
      </c>
      <c r="F952" s="32">
        <f t="shared" si="171"/>
        <v>1</v>
      </c>
      <c r="G952" s="29" t="s">
        <v>66</v>
      </c>
      <c r="H952" s="29"/>
      <c r="I952" s="29"/>
      <c r="J952" s="33"/>
      <c r="K952" s="34">
        <f t="shared" si="172"/>
        <v>0</v>
      </c>
      <c r="L952" s="35"/>
    </row>
    <row r="953" spans="1:12" s="37" customFormat="1" ht="30" x14ac:dyDescent="0.25">
      <c r="A953" s="30">
        <f>IF(F953&lt;&gt;"",1+MAX($A$7:A952),"")</f>
        <v>814</v>
      </c>
      <c r="B953" s="31"/>
      <c r="C953" s="43" t="s">
        <v>121</v>
      </c>
      <c r="D953" s="44">
        <v>1</v>
      </c>
      <c r="E953" s="28">
        <v>0</v>
      </c>
      <c r="F953" s="32">
        <f t="shared" si="171"/>
        <v>1</v>
      </c>
      <c r="G953" s="29" t="s">
        <v>66</v>
      </c>
      <c r="H953" s="29"/>
      <c r="I953" s="29"/>
      <c r="J953" s="33"/>
      <c r="K953" s="34">
        <f t="shared" si="172"/>
        <v>0</v>
      </c>
      <c r="L953" s="35"/>
    </row>
    <row r="954" spans="1:12" s="37" customFormat="1" ht="30" x14ac:dyDescent="0.25">
      <c r="A954" s="30">
        <f>IF(F954&lt;&gt;"",1+MAX($A$7:A953),"")</f>
        <v>815</v>
      </c>
      <c r="B954" s="31"/>
      <c r="C954" s="43" t="s">
        <v>122</v>
      </c>
      <c r="D954" s="44">
        <v>1</v>
      </c>
      <c r="E954" s="28">
        <v>0</v>
      </c>
      <c r="F954" s="32">
        <f t="shared" si="171"/>
        <v>1</v>
      </c>
      <c r="G954" s="29" t="s">
        <v>66</v>
      </c>
      <c r="H954" s="29"/>
      <c r="I954" s="29"/>
      <c r="J954" s="33"/>
      <c r="K954" s="34">
        <f t="shared" si="172"/>
        <v>0</v>
      </c>
      <c r="L954" s="35"/>
    </row>
    <row r="955" spans="1:12" s="37" customFormat="1" ht="30" x14ac:dyDescent="0.25">
      <c r="A955" s="30">
        <f>IF(F955&lt;&gt;"",1+MAX($A$7:A954),"")</f>
        <v>816</v>
      </c>
      <c r="B955" s="31"/>
      <c r="C955" s="43" t="s">
        <v>123</v>
      </c>
      <c r="D955" s="44">
        <v>4</v>
      </c>
      <c r="E955" s="28">
        <v>0</v>
      </c>
      <c r="F955" s="32">
        <f t="shared" si="171"/>
        <v>4</v>
      </c>
      <c r="G955" s="29" t="s">
        <v>66</v>
      </c>
      <c r="H955" s="29"/>
      <c r="I955" s="29"/>
      <c r="J955" s="33"/>
      <c r="K955" s="34">
        <f t="shared" si="172"/>
        <v>0</v>
      </c>
      <c r="L955" s="35"/>
    </row>
    <row r="956" spans="1:12" s="37" customFormat="1" x14ac:dyDescent="0.25">
      <c r="A956" s="30" t="str">
        <f>IF(F956&lt;&gt;"",1+MAX($A$7:A955),"")</f>
        <v/>
      </c>
      <c r="B956" s="31"/>
      <c r="C956" s="43"/>
      <c r="D956" s="44"/>
      <c r="E956" s="28"/>
      <c r="F956" s="32"/>
      <c r="G956" s="29"/>
      <c r="H956" s="29"/>
      <c r="I956" s="29"/>
      <c r="J956" s="33"/>
      <c r="K956" s="34"/>
      <c r="L956" s="35"/>
    </row>
    <row r="957" spans="1:12" s="37" customFormat="1" x14ac:dyDescent="0.25">
      <c r="A957" s="30" t="str">
        <f>IF(F957&lt;&gt;"",1+MAX($A$7:A956),"")</f>
        <v/>
      </c>
      <c r="B957" s="31"/>
      <c r="C957" s="49" t="s">
        <v>124</v>
      </c>
      <c r="D957" s="44"/>
      <c r="E957" s="28"/>
      <c r="F957" s="32"/>
      <c r="G957" s="29"/>
      <c r="H957" s="29"/>
      <c r="I957" s="29"/>
      <c r="J957" s="33"/>
      <c r="K957" s="34"/>
      <c r="L957" s="35"/>
    </row>
    <row r="958" spans="1:12" s="37" customFormat="1" x14ac:dyDescent="0.25">
      <c r="A958" s="30">
        <f>IF(F958&lt;&gt;"",1+MAX($A$7:A957),"")</f>
        <v>817</v>
      </c>
      <c r="B958" s="31"/>
      <c r="C958" s="43" t="s">
        <v>125</v>
      </c>
      <c r="D958" s="44">
        <v>1</v>
      </c>
      <c r="E958" s="28">
        <v>0</v>
      </c>
      <c r="F958" s="32">
        <f t="shared" ref="F958:F960" si="173">D958*(1+E958)</f>
        <v>1</v>
      </c>
      <c r="G958" s="29" t="s">
        <v>66</v>
      </c>
      <c r="H958" s="29"/>
      <c r="I958" s="29"/>
      <c r="J958" s="33"/>
      <c r="K958" s="34">
        <f t="shared" ref="K958:K960" si="174">J958*F958</f>
        <v>0</v>
      </c>
      <c r="L958" s="35"/>
    </row>
    <row r="959" spans="1:12" s="37" customFormat="1" x14ac:dyDescent="0.25">
      <c r="A959" s="30">
        <f>IF(F959&lt;&gt;"",1+MAX($A$7:A958),"")</f>
        <v>818</v>
      </c>
      <c r="B959" s="31"/>
      <c r="C959" s="43" t="s">
        <v>126</v>
      </c>
      <c r="D959" s="44">
        <v>5</v>
      </c>
      <c r="E959" s="28">
        <v>0</v>
      </c>
      <c r="F959" s="32">
        <f t="shared" si="173"/>
        <v>5</v>
      </c>
      <c r="G959" s="29" t="s">
        <v>66</v>
      </c>
      <c r="H959" s="29"/>
      <c r="I959" s="29"/>
      <c r="J959" s="33"/>
      <c r="K959" s="34">
        <f t="shared" si="174"/>
        <v>0</v>
      </c>
      <c r="L959" s="35"/>
    </row>
    <row r="960" spans="1:12" s="37" customFormat="1" x14ac:dyDescent="0.25">
      <c r="A960" s="30">
        <f>IF(F960&lt;&gt;"",1+MAX($A$7:A959),"")</f>
        <v>819</v>
      </c>
      <c r="B960" s="31"/>
      <c r="C960" s="43" t="s">
        <v>127</v>
      </c>
      <c r="D960" s="44">
        <v>1</v>
      </c>
      <c r="E960" s="28">
        <v>0</v>
      </c>
      <c r="F960" s="32">
        <f t="shared" si="173"/>
        <v>1</v>
      </c>
      <c r="G960" s="29" t="s">
        <v>66</v>
      </c>
      <c r="H960" s="29"/>
      <c r="I960" s="29"/>
      <c r="J960" s="33"/>
      <c r="K960" s="34">
        <f t="shared" si="174"/>
        <v>0</v>
      </c>
      <c r="L960" s="35"/>
    </row>
    <row r="961" spans="1:12" s="37" customFormat="1" x14ac:dyDescent="0.25">
      <c r="A961" s="30" t="str">
        <f>IF(F961&lt;&gt;"",1+MAX($A$7:A960),"")</f>
        <v/>
      </c>
      <c r="B961" s="31"/>
      <c r="C961" s="43"/>
      <c r="D961" s="44"/>
      <c r="E961" s="28"/>
      <c r="F961" s="32"/>
      <c r="G961" s="29"/>
      <c r="H961" s="29"/>
      <c r="I961" s="29"/>
      <c r="J961" s="33"/>
      <c r="K961" s="34"/>
      <c r="L961" s="35"/>
    </row>
    <row r="962" spans="1:12" s="37" customFormat="1" x14ac:dyDescent="0.25">
      <c r="A962" s="30" t="str">
        <f>IF(F962&lt;&gt;"",1+MAX($A$7:A961),"")</f>
        <v/>
      </c>
      <c r="B962" s="31"/>
      <c r="C962" s="49" t="s">
        <v>68</v>
      </c>
      <c r="D962" s="44"/>
      <c r="E962" s="28"/>
      <c r="F962" s="32"/>
      <c r="G962" s="29"/>
      <c r="H962" s="29"/>
      <c r="I962" s="29"/>
      <c r="J962" s="33"/>
      <c r="K962" s="34"/>
      <c r="L962" s="35"/>
    </row>
    <row r="963" spans="1:12" s="37" customFormat="1" x14ac:dyDescent="0.25">
      <c r="A963" s="30">
        <f>IF(F963&lt;&gt;"",1+MAX($A$7:A962),"")</f>
        <v>820</v>
      </c>
      <c r="B963" s="31"/>
      <c r="C963" s="43" t="s">
        <v>128</v>
      </c>
      <c r="D963" s="44">
        <v>1</v>
      </c>
      <c r="E963" s="28">
        <v>0</v>
      </c>
      <c r="F963" s="32">
        <f t="shared" ref="F963:F969" si="175">D963*(1+E963)</f>
        <v>1</v>
      </c>
      <c r="G963" s="29" t="s">
        <v>66</v>
      </c>
      <c r="H963" s="29"/>
      <c r="I963" s="29"/>
      <c r="J963" s="33"/>
      <c r="K963" s="34">
        <f t="shared" ref="K963:K969" si="176">J963*F963</f>
        <v>0</v>
      </c>
      <c r="L963" s="35"/>
    </row>
    <row r="964" spans="1:12" s="37" customFormat="1" x14ac:dyDescent="0.25">
      <c r="A964" s="30">
        <f>IF(F964&lt;&gt;"",1+MAX($A$7:A963),"")</f>
        <v>821</v>
      </c>
      <c r="B964" s="31"/>
      <c r="C964" s="43" t="s">
        <v>129</v>
      </c>
      <c r="D964" s="44">
        <v>1</v>
      </c>
      <c r="E964" s="28">
        <v>0</v>
      </c>
      <c r="F964" s="32">
        <f t="shared" si="175"/>
        <v>1</v>
      </c>
      <c r="G964" s="29" t="s">
        <v>66</v>
      </c>
      <c r="H964" s="29"/>
      <c r="I964" s="29"/>
      <c r="J964" s="33"/>
      <c r="K964" s="34">
        <f t="shared" si="176"/>
        <v>0</v>
      </c>
      <c r="L964" s="35"/>
    </row>
    <row r="965" spans="1:12" s="37" customFormat="1" x14ac:dyDescent="0.25">
      <c r="A965" s="30">
        <f>IF(F965&lt;&gt;"",1+MAX($A$7:A964),"")</f>
        <v>822</v>
      </c>
      <c r="B965" s="31"/>
      <c r="C965" s="43" t="s">
        <v>130</v>
      </c>
      <c r="D965" s="44">
        <v>2</v>
      </c>
      <c r="E965" s="28">
        <v>0</v>
      </c>
      <c r="F965" s="32">
        <f t="shared" si="175"/>
        <v>2</v>
      </c>
      <c r="G965" s="29" t="s">
        <v>66</v>
      </c>
      <c r="H965" s="29"/>
      <c r="I965" s="29"/>
      <c r="J965" s="33"/>
      <c r="K965" s="34">
        <f t="shared" si="176"/>
        <v>0</v>
      </c>
      <c r="L965" s="35"/>
    </row>
    <row r="966" spans="1:12" s="37" customFormat="1" x14ac:dyDescent="0.25">
      <c r="A966" s="30">
        <f>IF(F966&lt;&gt;"",1+MAX($A$7:A965),"")</f>
        <v>823</v>
      </c>
      <c r="B966" s="31"/>
      <c r="C966" s="43" t="s">
        <v>131</v>
      </c>
      <c r="D966" s="44">
        <v>1</v>
      </c>
      <c r="E966" s="28">
        <v>0</v>
      </c>
      <c r="F966" s="32">
        <f t="shared" si="175"/>
        <v>1</v>
      </c>
      <c r="G966" s="29" t="s">
        <v>66</v>
      </c>
      <c r="H966" s="29"/>
      <c r="I966" s="29"/>
      <c r="J966" s="33"/>
      <c r="K966" s="34">
        <f t="shared" si="176"/>
        <v>0</v>
      </c>
      <c r="L966" s="35"/>
    </row>
    <row r="967" spans="1:12" s="37" customFormat="1" x14ac:dyDescent="0.25">
      <c r="A967" s="30">
        <f>IF(F967&lt;&gt;"",1+MAX($A$7:A966),"")</f>
        <v>824</v>
      </c>
      <c r="B967" s="31"/>
      <c r="C967" s="43" t="s">
        <v>132</v>
      </c>
      <c r="D967" s="44">
        <v>1</v>
      </c>
      <c r="E967" s="28">
        <v>0</v>
      </c>
      <c r="F967" s="32">
        <f t="shared" si="175"/>
        <v>1</v>
      </c>
      <c r="G967" s="29" t="s">
        <v>66</v>
      </c>
      <c r="H967" s="29"/>
      <c r="I967" s="29"/>
      <c r="J967" s="33"/>
      <c r="K967" s="34">
        <f t="shared" si="176"/>
        <v>0</v>
      </c>
      <c r="L967" s="35"/>
    </row>
    <row r="968" spans="1:12" s="37" customFormat="1" x14ac:dyDescent="0.25">
      <c r="A968" s="30">
        <f>IF(F968&lt;&gt;"",1+MAX($A$7:A967),"")</f>
        <v>825</v>
      </c>
      <c r="B968" s="31"/>
      <c r="C968" s="43" t="s">
        <v>133</v>
      </c>
      <c r="D968" s="44">
        <v>1</v>
      </c>
      <c r="E968" s="28">
        <v>0</v>
      </c>
      <c r="F968" s="32">
        <f t="shared" si="175"/>
        <v>1</v>
      </c>
      <c r="G968" s="29" t="s">
        <v>66</v>
      </c>
      <c r="H968" s="29"/>
      <c r="I968" s="29"/>
      <c r="J968" s="33"/>
      <c r="K968" s="34">
        <f t="shared" si="176"/>
        <v>0</v>
      </c>
      <c r="L968" s="35"/>
    </row>
    <row r="969" spans="1:12" s="37" customFormat="1" x14ac:dyDescent="0.25">
      <c r="A969" s="30">
        <f>IF(F969&lt;&gt;"",1+MAX($A$7:A968),"")</f>
        <v>826</v>
      </c>
      <c r="B969" s="31"/>
      <c r="C969" s="43" t="s">
        <v>134</v>
      </c>
      <c r="D969" s="44">
        <v>1</v>
      </c>
      <c r="E969" s="28">
        <v>0</v>
      </c>
      <c r="F969" s="32">
        <f t="shared" si="175"/>
        <v>1</v>
      </c>
      <c r="G969" s="29" t="s">
        <v>66</v>
      </c>
      <c r="H969" s="29"/>
      <c r="I969" s="29"/>
      <c r="J969" s="33"/>
      <c r="K969" s="34">
        <f t="shared" si="176"/>
        <v>0</v>
      </c>
      <c r="L969" s="35"/>
    </row>
    <row r="970" spans="1:12" s="37" customFormat="1" x14ac:dyDescent="0.25">
      <c r="A970" s="30" t="str">
        <f>IF(F970&lt;&gt;"",1+MAX($A$7:A969),"")</f>
        <v/>
      </c>
      <c r="B970" s="31"/>
      <c r="C970" s="43"/>
      <c r="D970" s="44"/>
      <c r="E970" s="28"/>
      <c r="F970" s="32"/>
      <c r="G970" s="29"/>
      <c r="H970" s="29"/>
      <c r="I970" s="29"/>
      <c r="J970" s="33"/>
      <c r="K970" s="34"/>
      <c r="L970" s="35"/>
    </row>
    <row r="971" spans="1:12" s="37" customFormat="1" x14ac:dyDescent="0.25">
      <c r="A971" s="30" t="str">
        <f>IF(F971&lt;&gt;"",1+MAX($A$7:A970),"")</f>
        <v/>
      </c>
      <c r="B971" s="31"/>
      <c r="C971" s="49" t="s">
        <v>135</v>
      </c>
      <c r="D971" s="44"/>
      <c r="E971" s="28"/>
      <c r="F971" s="32"/>
      <c r="G971" s="29"/>
      <c r="H971" s="29"/>
      <c r="I971" s="29"/>
      <c r="J971" s="33"/>
      <c r="K971" s="34"/>
      <c r="L971" s="35"/>
    </row>
    <row r="972" spans="1:12" s="37" customFormat="1" x14ac:dyDescent="0.25">
      <c r="A972" s="30">
        <f>IF(F972&lt;&gt;"",1+MAX($A$7:A971),"")</f>
        <v>827</v>
      </c>
      <c r="B972" s="31"/>
      <c r="C972" s="43" t="s">
        <v>136</v>
      </c>
      <c r="D972" s="44">
        <v>2</v>
      </c>
      <c r="E972" s="28">
        <v>0</v>
      </c>
      <c r="F972" s="32">
        <f t="shared" ref="F972" si="177">D972*(1+E972)</f>
        <v>2</v>
      </c>
      <c r="G972" s="29" t="s">
        <v>66</v>
      </c>
      <c r="H972" s="29"/>
      <c r="I972" s="29"/>
      <c r="J972" s="33"/>
      <c r="K972" s="34">
        <f t="shared" ref="K972" si="178">J972*F972</f>
        <v>0</v>
      </c>
      <c r="L972" s="35"/>
    </row>
    <row r="973" spans="1:12" s="37" customFormat="1" x14ac:dyDescent="0.25">
      <c r="A973" s="30" t="str">
        <f>IF(F973&lt;&gt;"",1+MAX($A$7:A972),"")</f>
        <v/>
      </c>
      <c r="B973" s="31"/>
      <c r="C973" s="43"/>
      <c r="D973" s="44"/>
      <c r="E973" s="28"/>
      <c r="F973" s="32"/>
      <c r="G973" s="29"/>
      <c r="H973" s="29"/>
      <c r="I973" s="29"/>
      <c r="J973" s="33"/>
      <c r="K973" s="34"/>
      <c r="L973" s="35"/>
    </row>
    <row r="974" spans="1:12" s="37" customFormat="1" x14ac:dyDescent="0.25">
      <c r="A974" s="30" t="str">
        <f>IF(F974&lt;&gt;"",1+MAX($A$7:A973),"")</f>
        <v/>
      </c>
      <c r="B974" s="31"/>
      <c r="C974" s="49" t="s">
        <v>137</v>
      </c>
      <c r="D974" s="44"/>
      <c r="E974" s="28"/>
      <c r="F974" s="32"/>
      <c r="G974" s="29"/>
      <c r="H974" s="29"/>
      <c r="I974" s="29"/>
      <c r="J974" s="33"/>
      <c r="K974" s="34"/>
      <c r="L974" s="35"/>
    </row>
    <row r="975" spans="1:12" s="37" customFormat="1" x14ac:dyDescent="0.25">
      <c r="A975" s="30">
        <f>IF(F975&lt;&gt;"",1+MAX($A$7:A974),"")</f>
        <v>828</v>
      </c>
      <c r="B975" s="31"/>
      <c r="C975" s="43" t="s">
        <v>138</v>
      </c>
      <c r="D975" s="44">
        <v>2</v>
      </c>
      <c r="E975" s="28">
        <v>0</v>
      </c>
      <c r="F975" s="32">
        <f t="shared" ref="F975" si="179">D975*(1+E975)</f>
        <v>2</v>
      </c>
      <c r="G975" s="29" t="s">
        <v>66</v>
      </c>
      <c r="H975" s="29"/>
      <c r="I975" s="29"/>
      <c r="J975" s="33"/>
      <c r="K975" s="34">
        <f t="shared" ref="K975" si="180">J975*F975</f>
        <v>0</v>
      </c>
      <c r="L975" s="35"/>
    </row>
    <row r="976" spans="1:12" s="37" customFormat="1" x14ac:dyDescent="0.25">
      <c r="A976" s="30" t="str">
        <f>IF(F976&lt;&gt;"",1+MAX($A$7:A975),"")</f>
        <v/>
      </c>
      <c r="B976" s="31"/>
      <c r="C976" s="43"/>
      <c r="D976" s="44"/>
      <c r="E976" s="28"/>
      <c r="F976" s="32"/>
      <c r="G976" s="29"/>
      <c r="H976" s="29"/>
      <c r="I976" s="29"/>
      <c r="J976" s="33"/>
      <c r="K976" s="34"/>
      <c r="L976" s="35"/>
    </row>
    <row r="977" spans="1:12" s="37" customFormat="1" x14ac:dyDescent="0.25">
      <c r="A977" s="30" t="str">
        <f>IF(F977&lt;&gt;"",1+MAX($A$7:A976),"")</f>
        <v/>
      </c>
      <c r="B977" s="31"/>
      <c r="C977" s="49" t="s">
        <v>139</v>
      </c>
      <c r="D977" s="44"/>
      <c r="E977" s="28"/>
      <c r="F977" s="32"/>
      <c r="G977" s="29"/>
      <c r="H977" s="29"/>
      <c r="I977" s="29"/>
      <c r="J977" s="33"/>
      <c r="K977" s="34"/>
      <c r="L977" s="35"/>
    </row>
    <row r="978" spans="1:12" s="37" customFormat="1" x14ac:dyDescent="0.25">
      <c r="A978" s="30">
        <f>IF(F978&lt;&gt;"",1+MAX($A$7:A977),"")</f>
        <v>829</v>
      </c>
      <c r="B978" s="31"/>
      <c r="C978" s="50" t="s">
        <v>140</v>
      </c>
      <c r="D978" s="44">
        <v>1</v>
      </c>
      <c r="E978" s="28">
        <v>0</v>
      </c>
      <c r="F978" s="32">
        <f t="shared" ref="F978" si="181">D978*(1+E978)</f>
        <v>1</v>
      </c>
      <c r="G978" s="29" t="s">
        <v>66</v>
      </c>
      <c r="H978" s="29"/>
      <c r="I978" s="29"/>
      <c r="J978" s="33"/>
      <c r="K978" s="34">
        <f t="shared" ref="K978" si="182">J978*F978</f>
        <v>0</v>
      </c>
      <c r="L978" s="35"/>
    </row>
    <row r="979" spans="1:12" s="37" customFormat="1" x14ac:dyDescent="0.25">
      <c r="A979" s="30" t="str">
        <f>IF(F979&lt;&gt;"",1+MAX($A$7:A978),"")</f>
        <v/>
      </c>
      <c r="B979" s="31"/>
      <c r="C979" s="43"/>
      <c r="D979" s="44"/>
      <c r="E979" s="28"/>
      <c r="F979" s="32"/>
      <c r="G979" s="29"/>
      <c r="H979" s="29"/>
      <c r="I979" s="29"/>
      <c r="J979" s="33"/>
      <c r="K979" s="34"/>
      <c r="L979" s="35"/>
    </row>
    <row r="980" spans="1:12" s="37" customFormat="1" x14ac:dyDescent="0.25">
      <c r="A980" s="30" t="str">
        <f>IF(F980&lt;&gt;"",1+MAX($A$7:A979),"")</f>
        <v/>
      </c>
      <c r="B980" s="31"/>
      <c r="C980" s="49" t="s">
        <v>141</v>
      </c>
      <c r="D980" s="44"/>
      <c r="E980" s="28"/>
      <c r="F980" s="32"/>
      <c r="G980" s="29"/>
      <c r="H980" s="29"/>
      <c r="I980" s="29"/>
      <c r="J980" s="33"/>
      <c r="K980" s="34"/>
      <c r="L980" s="35"/>
    </row>
    <row r="981" spans="1:12" s="37" customFormat="1" x14ac:dyDescent="0.25">
      <c r="A981" s="30">
        <f>IF(F981&lt;&gt;"",1+MAX($A$7:A980),"")</f>
        <v>830</v>
      </c>
      <c r="B981" s="31"/>
      <c r="C981" s="43" t="s">
        <v>142</v>
      </c>
      <c r="D981" s="44">
        <v>2</v>
      </c>
      <c r="E981" s="28">
        <v>0</v>
      </c>
      <c r="F981" s="32">
        <f t="shared" ref="F981" si="183">D981*(1+E981)</f>
        <v>2</v>
      </c>
      <c r="G981" s="29" t="s">
        <v>66</v>
      </c>
      <c r="H981" s="29"/>
      <c r="I981" s="29"/>
      <c r="J981" s="33"/>
      <c r="K981" s="34">
        <f t="shared" ref="K981" si="184">J981*F981</f>
        <v>0</v>
      </c>
      <c r="L981" s="35"/>
    </row>
    <row r="982" spans="1:12" s="37" customFormat="1" x14ac:dyDescent="0.25">
      <c r="A982" s="30" t="str">
        <f>IF(F982&lt;&gt;"",1+MAX($A$7:A981),"")</f>
        <v/>
      </c>
      <c r="B982" s="31"/>
      <c r="C982" s="50"/>
      <c r="D982" s="46"/>
      <c r="E982" s="28"/>
      <c r="F982" s="32"/>
      <c r="G982" s="29"/>
      <c r="H982" s="29"/>
      <c r="I982" s="29"/>
      <c r="J982" s="33"/>
      <c r="K982" s="34"/>
      <c r="L982" s="35"/>
    </row>
    <row r="983" spans="1:12" s="37" customFormat="1" x14ac:dyDescent="0.25">
      <c r="A983" s="30" t="str">
        <f>IF(F983&lt;&gt;"",1+MAX($A$7:A982),"")</f>
        <v/>
      </c>
      <c r="B983" s="31"/>
      <c r="C983" s="49" t="s">
        <v>143</v>
      </c>
      <c r="D983" s="44"/>
      <c r="E983" s="28"/>
      <c r="F983" s="32"/>
      <c r="G983" s="29"/>
      <c r="H983" s="29"/>
      <c r="I983" s="29"/>
      <c r="J983" s="33"/>
      <c r="K983" s="34"/>
      <c r="L983" s="35"/>
    </row>
    <row r="984" spans="1:12" s="37" customFormat="1" x14ac:dyDescent="0.25">
      <c r="A984" s="30">
        <f>IF(F984&lt;&gt;"",1+MAX($A$7:A983),"")</f>
        <v>831</v>
      </c>
      <c r="B984" s="31"/>
      <c r="C984" s="43" t="s">
        <v>144</v>
      </c>
      <c r="D984" s="44">
        <v>8</v>
      </c>
      <c r="E984" s="28">
        <v>0</v>
      </c>
      <c r="F984" s="32">
        <f t="shared" ref="F984" si="185">D984*(1+E984)</f>
        <v>8</v>
      </c>
      <c r="G984" s="29" t="s">
        <v>66</v>
      </c>
      <c r="H984" s="29"/>
      <c r="I984" s="29"/>
      <c r="J984" s="33"/>
      <c r="K984" s="34">
        <f t="shared" ref="K984" si="186">J984*F984</f>
        <v>0</v>
      </c>
      <c r="L984" s="35"/>
    </row>
    <row r="985" spans="1:12" s="37" customFormat="1" x14ac:dyDescent="0.25">
      <c r="A985" s="30" t="str">
        <f>IF(F985&lt;&gt;"",1+MAX($A$7:A984),"")</f>
        <v/>
      </c>
      <c r="B985" s="31"/>
      <c r="C985" s="50"/>
      <c r="D985" s="46"/>
      <c r="E985" s="28"/>
      <c r="F985" s="32"/>
      <c r="G985" s="29"/>
      <c r="H985" s="29"/>
      <c r="I985" s="29"/>
      <c r="J985" s="33"/>
      <c r="K985" s="34"/>
      <c r="L985" s="35"/>
    </row>
    <row r="986" spans="1:12" s="37" customFormat="1" x14ac:dyDescent="0.25">
      <c r="A986" s="30" t="str">
        <f>IF(F986&lt;&gt;"",1+MAX($A$7:A985),"")</f>
        <v/>
      </c>
      <c r="B986" s="31"/>
      <c r="C986" s="49" t="s">
        <v>145</v>
      </c>
      <c r="D986" s="44"/>
      <c r="E986" s="28"/>
      <c r="F986" s="32"/>
      <c r="G986" s="29"/>
      <c r="H986" s="29"/>
      <c r="I986" s="29"/>
      <c r="J986" s="33"/>
      <c r="K986" s="34"/>
      <c r="L986" s="35"/>
    </row>
    <row r="987" spans="1:12" s="37" customFormat="1" x14ac:dyDescent="0.25">
      <c r="A987" s="30">
        <f>IF(F987&lt;&gt;"",1+MAX($A$7:A986),"")</f>
        <v>832</v>
      </c>
      <c r="B987" s="31"/>
      <c r="C987" s="43" t="s">
        <v>146</v>
      </c>
      <c r="D987" s="44">
        <v>1</v>
      </c>
      <c r="E987" s="28">
        <v>0</v>
      </c>
      <c r="F987" s="32">
        <f t="shared" ref="F987:F991" si="187">D987*(1+E987)</f>
        <v>1</v>
      </c>
      <c r="G987" s="29" t="s">
        <v>66</v>
      </c>
      <c r="H987" s="29"/>
      <c r="I987" s="29"/>
      <c r="J987" s="33"/>
      <c r="K987" s="34">
        <f t="shared" ref="K987:K991" si="188">J987*F987</f>
        <v>0</v>
      </c>
      <c r="L987" s="35"/>
    </row>
    <row r="988" spans="1:12" s="37" customFormat="1" x14ac:dyDescent="0.25">
      <c r="A988" s="30">
        <f>IF(F988&lt;&gt;"",1+MAX($A$7:A987),"")</f>
        <v>833</v>
      </c>
      <c r="B988" s="31"/>
      <c r="C988" s="43" t="s">
        <v>147</v>
      </c>
      <c r="D988" s="46">
        <v>1</v>
      </c>
      <c r="E988" s="28">
        <v>0</v>
      </c>
      <c r="F988" s="32">
        <f t="shared" si="187"/>
        <v>1</v>
      </c>
      <c r="G988" s="29" t="s">
        <v>66</v>
      </c>
      <c r="H988" s="29"/>
      <c r="I988" s="29"/>
      <c r="J988" s="33"/>
      <c r="K988" s="34">
        <f t="shared" si="188"/>
        <v>0</v>
      </c>
      <c r="L988" s="35"/>
    </row>
    <row r="989" spans="1:12" s="37" customFormat="1" x14ac:dyDescent="0.25">
      <c r="A989" s="30">
        <f>IF(F989&lt;&gt;"",1+MAX($A$7:A988),"")</f>
        <v>834</v>
      </c>
      <c r="B989" s="31"/>
      <c r="C989" s="43" t="s">
        <v>148</v>
      </c>
      <c r="D989" s="44">
        <v>1</v>
      </c>
      <c r="E989" s="28">
        <v>0</v>
      </c>
      <c r="F989" s="32">
        <f t="shared" si="187"/>
        <v>1</v>
      </c>
      <c r="G989" s="29" t="s">
        <v>66</v>
      </c>
      <c r="H989" s="29"/>
      <c r="I989" s="29"/>
      <c r="J989" s="33"/>
      <c r="K989" s="34">
        <f t="shared" si="188"/>
        <v>0</v>
      </c>
      <c r="L989" s="35"/>
    </row>
    <row r="990" spans="1:12" s="37" customFormat="1" x14ac:dyDescent="0.25">
      <c r="A990" s="30">
        <f>IF(F990&lt;&gt;"",1+MAX($A$7:A989),"")</f>
        <v>835</v>
      </c>
      <c r="B990" s="31"/>
      <c r="C990" s="43" t="s">
        <v>149</v>
      </c>
      <c r="D990" s="44">
        <v>1</v>
      </c>
      <c r="E990" s="28">
        <v>0</v>
      </c>
      <c r="F990" s="32">
        <f t="shared" si="187"/>
        <v>1</v>
      </c>
      <c r="G990" s="29" t="s">
        <v>66</v>
      </c>
      <c r="H990" s="29"/>
      <c r="I990" s="29"/>
      <c r="J990" s="33"/>
      <c r="K990" s="34">
        <f t="shared" si="188"/>
        <v>0</v>
      </c>
      <c r="L990" s="35"/>
    </row>
    <row r="991" spans="1:12" s="37" customFormat="1" x14ac:dyDescent="0.25">
      <c r="A991" s="30">
        <f>IF(F991&lt;&gt;"",1+MAX($A$7:A990),"")</f>
        <v>836</v>
      </c>
      <c r="B991" s="31"/>
      <c r="C991" s="43" t="s">
        <v>150</v>
      </c>
      <c r="D991" s="44">
        <v>1</v>
      </c>
      <c r="E991" s="28">
        <v>0</v>
      </c>
      <c r="F991" s="32">
        <f t="shared" si="187"/>
        <v>1</v>
      </c>
      <c r="G991" s="29" t="s">
        <v>66</v>
      </c>
      <c r="H991" s="29"/>
      <c r="I991" s="29"/>
      <c r="J991" s="33"/>
      <c r="K991" s="34">
        <f t="shared" si="188"/>
        <v>0</v>
      </c>
      <c r="L991" s="35"/>
    </row>
    <row r="992" spans="1:12" s="37" customFormat="1" x14ac:dyDescent="0.25">
      <c r="A992" s="30" t="str">
        <f>IF(F992&lt;&gt;"",1+MAX($A$7:A991),"")</f>
        <v/>
      </c>
      <c r="B992" s="31"/>
      <c r="C992" s="43"/>
      <c r="D992" s="46"/>
      <c r="E992" s="28"/>
      <c r="F992" s="32"/>
      <c r="G992" s="29"/>
      <c r="H992" s="29"/>
      <c r="I992" s="29"/>
      <c r="J992" s="33"/>
      <c r="K992" s="34"/>
      <c r="L992" s="35"/>
    </row>
    <row r="993" spans="1:12" s="37" customFormat="1" x14ac:dyDescent="0.25">
      <c r="A993" s="30" t="str">
        <f>IF(F993&lt;&gt;"",1+MAX($A$7:A992),"")</f>
        <v/>
      </c>
      <c r="B993" s="31"/>
      <c r="C993" s="49" t="s">
        <v>151</v>
      </c>
      <c r="D993" s="46"/>
      <c r="E993" s="28"/>
      <c r="F993" s="32"/>
      <c r="G993" s="29"/>
      <c r="H993" s="29"/>
      <c r="I993" s="29"/>
      <c r="J993" s="33"/>
      <c r="K993" s="34"/>
      <c r="L993" s="35"/>
    </row>
    <row r="994" spans="1:12" s="37" customFormat="1" x14ac:dyDescent="0.25">
      <c r="A994" s="30">
        <f>IF(F994&lt;&gt;"",1+MAX($A$7:A993),"")</f>
        <v>837</v>
      </c>
      <c r="B994" s="31"/>
      <c r="C994" s="43" t="s">
        <v>152</v>
      </c>
      <c r="D994" s="44">
        <v>5</v>
      </c>
      <c r="E994" s="28">
        <v>0</v>
      </c>
      <c r="F994" s="32">
        <f t="shared" ref="F994" si="189">D994*(1+E994)</f>
        <v>5</v>
      </c>
      <c r="G994" s="29" t="s">
        <v>66</v>
      </c>
      <c r="H994" s="29"/>
      <c r="I994" s="29"/>
      <c r="J994" s="33"/>
      <c r="K994" s="34">
        <f t="shared" ref="K994" si="190">J994*F994</f>
        <v>0</v>
      </c>
      <c r="L994" s="35"/>
    </row>
    <row r="995" spans="1:12" s="37" customFormat="1" x14ac:dyDescent="0.25">
      <c r="A995" s="30" t="str">
        <f>IF(F995&lt;&gt;"",1+MAX($A$7:A994),"")</f>
        <v/>
      </c>
      <c r="B995" s="31"/>
      <c r="C995" s="43"/>
      <c r="D995" s="46"/>
      <c r="E995" s="28"/>
      <c r="F995" s="32"/>
      <c r="G995" s="29"/>
      <c r="H995" s="29"/>
      <c r="I995" s="29"/>
      <c r="J995" s="33"/>
      <c r="K995" s="34"/>
      <c r="L995" s="35"/>
    </row>
    <row r="996" spans="1:12" s="37" customFormat="1" x14ac:dyDescent="0.25">
      <c r="A996" s="30" t="str">
        <f>IF(F996&lt;&gt;"",1+MAX($A$7:A995),"")</f>
        <v/>
      </c>
      <c r="B996" s="31"/>
      <c r="C996" s="49" t="s">
        <v>153</v>
      </c>
      <c r="D996" s="46"/>
      <c r="E996" s="28"/>
      <c r="F996" s="32"/>
      <c r="G996" s="29"/>
      <c r="H996" s="29"/>
      <c r="I996" s="29"/>
      <c r="J996" s="33"/>
      <c r="K996" s="34"/>
      <c r="L996" s="35"/>
    </row>
    <row r="997" spans="1:12" s="37" customFormat="1" x14ac:dyDescent="0.25">
      <c r="A997" s="30">
        <f>IF(F997&lt;&gt;"",1+MAX($A$7:A996),"")</f>
        <v>838</v>
      </c>
      <c r="B997" s="31"/>
      <c r="C997" s="43" t="s">
        <v>154</v>
      </c>
      <c r="D997" s="46">
        <v>6</v>
      </c>
      <c r="E997" s="28">
        <v>0</v>
      </c>
      <c r="F997" s="32">
        <f t="shared" ref="F997:F1001" si="191">D997*(1+E997)</f>
        <v>6</v>
      </c>
      <c r="G997" s="29" t="s">
        <v>66</v>
      </c>
      <c r="H997" s="29"/>
      <c r="I997" s="29"/>
      <c r="J997" s="33"/>
      <c r="K997" s="34">
        <f t="shared" ref="K997:K1001" si="192">J997*F997</f>
        <v>0</v>
      </c>
      <c r="L997" s="35"/>
    </row>
    <row r="998" spans="1:12" s="37" customFormat="1" x14ac:dyDescent="0.25">
      <c r="A998" s="30">
        <f>IF(F998&lt;&gt;"",1+MAX($A$7:A997),"")</f>
        <v>839</v>
      </c>
      <c r="B998" s="31"/>
      <c r="C998" s="43" t="s">
        <v>155</v>
      </c>
      <c r="D998" s="46">
        <v>5</v>
      </c>
      <c r="E998" s="28">
        <v>0</v>
      </c>
      <c r="F998" s="32">
        <f t="shared" si="191"/>
        <v>5</v>
      </c>
      <c r="G998" s="29" t="s">
        <v>66</v>
      </c>
      <c r="H998" s="29"/>
      <c r="I998" s="29"/>
      <c r="J998" s="33"/>
      <c r="K998" s="34">
        <f t="shared" si="192"/>
        <v>0</v>
      </c>
      <c r="L998" s="35"/>
    </row>
    <row r="999" spans="1:12" s="37" customFormat="1" x14ac:dyDescent="0.25">
      <c r="A999" s="30">
        <f>IF(F999&lt;&gt;"",1+MAX($A$7:A998),"")</f>
        <v>840</v>
      </c>
      <c r="B999" s="31"/>
      <c r="C999" s="43" t="s">
        <v>156</v>
      </c>
      <c r="D999" s="46">
        <v>1</v>
      </c>
      <c r="E999" s="28">
        <v>0</v>
      </c>
      <c r="F999" s="32">
        <f t="shared" si="191"/>
        <v>1</v>
      </c>
      <c r="G999" s="29" t="s">
        <v>66</v>
      </c>
      <c r="H999" s="29"/>
      <c r="I999" s="29"/>
      <c r="J999" s="33"/>
      <c r="K999" s="34">
        <f t="shared" si="192"/>
        <v>0</v>
      </c>
      <c r="L999" s="35"/>
    </row>
    <row r="1000" spans="1:12" s="37" customFormat="1" x14ac:dyDescent="0.25">
      <c r="A1000" s="30">
        <f>IF(F1000&lt;&gt;"",1+MAX($A$7:A999),"")</f>
        <v>841</v>
      </c>
      <c r="B1000" s="31"/>
      <c r="C1000" s="43" t="s">
        <v>157</v>
      </c>
      <c r="D1000" s="44">
        <v>4</v>
      </c>
      <c r="E1000" s="28">
        <v>0</v>
      </c>
      <c r="F1000" s="32">
        <f t="shared" si="191"/>
        <v>4</v>
      </c>
      <c r="G1000" s="29" t="s">
        <v>66</v>
      </c>
      <c r="H1000" s="29"/>
      <c r="I1000" s="29"/>
      <c r="J1000" s="33"/>
      <c r="K1000" s="34">
        <f t="shared" si="192"/>
        <v>0</v>
      </c>
      <c r="L1000" s="35"/>
    </row>
    <row r="1001" spans="1:12" s="37" customFormat="1" x14ac:dyDescent="0.25">
      <c r="A1001" s="30">
        <f>IF(F1001&lt;&gt;"",1+MAX($A$7:A1000),"")</f>
        <v>842</v>
      </c>
      <c r="B1001" s="31"/>
      <c r="C1001" s="43" t="s">
        <v>158</v>
      </c>
      <c r="D1001" s="44">
        <v>1</v>
      </c>
      <c r="E1001" s="28">
        <v>0</v>
      </c>
      <c r="F1001" s="32">
        <f t="shared" si="191"/>
        <v>1</v>
      </c>
      <c r="G1001" s="29" t="s">
        <v>66</v>
      </c>
      <c r="H1001" s="29"/>
      <c r="I1001" s="29"/>
      <c r="J1001" s="33"/>
      <c r="K1001" s="34">
        <f t="shared" si="192"/>
        <v>0</v>
      </c>
      <c r="L1001" s="35"/>
    </row>
    <row r="1002" spans="1:12" s="37" customFormat="1" x14ac:dyDescent="0.25">
      <c r="A1002" s="30" t="str">
        <f>IF(F1002&lt;&gt;"",1+MAX($A$7:A1001),"")</f>
        <v/>
      </c>
      <c r="B1002" s="31"/>
      <c r="C1002" s="43"/>
      <c r="D1002" s="44"/>
      <c r="E1002" s="28"/>
      <c r="F1002" s="32"/>
      <c r="G1002" s="29"/>
      <c r="H1002" s="29"/>
      <c r="I1002" s="29"/>
      <c r="J1002" s="33"/>
      <c r="K1002" s="34"/>
      <c r="L1002" s="35"/>
    </row>
    <row r="1003" spans="1:12" s="37" customFormat="1" x14ac:dyDescent="0.25">
      <c r="A1003" s="30" t="str">
        <f>IF(F1003&lt;&gt;"",1+MAX($A$7:A1002),"")</f>
        <v/>
      </c>
      <c r="B1003" s="31"/>
      <c r="C1003" s="49" t="s">
        <v>159</v>
      </c>
      <c r="D1003" s="44"/>
      <c r="E1003" s="28"/>
      <c r="F1003" s="32"/>
      <c r="G1003" s="29"/>
      <c r="H1003" s="29"/>
      <c r="I1003" s="29"/>
      <c r="J1003" s="33"/>
      <c r="K1003" s="34"/>
      <c r="L1003" s="35"/>
    </row>
    <row r="1004" spans="1:12" s="37" customFormat="1" x14ac:dyDescent="0.25">
      <c r="A1004" s="30">
        <f>IF(F1004&lt;&gt;"",1+MAX($A$7:A1003),"")</f>
        <v>843</v>
      </c>
      <c r="B1004" s="31"/>
      <c r="C1004" s="43" t="s">
        <v>160</v>
      </c>
      <c r="D1004" s="44">
        <v>11</v>
      </c>
      <c r="E1004" s="28">
        <v>0</v>
      </c>
      <c r="F1004" s="32">
        <f t="shared" ref="F1004:F1009" si="193">D1004*(1+E1004)</f>
        <v>11</v>
      </c>
      <c r="G1004" s="29" t="s">
        <v>66</v>
      </c>
      <c r="H1004" s="29"/>
      <c r="I1004" s="29"/>
      <c r="J1004" s="33"/>
      <c r="K1004" s="34">
        <f t="shared" ref="K1004:K1009" si="194">J1004*F1004</f>
        <v>0</v>
      </c>
      <c r="L1004" s="35"/>
    </row>
    <row r="1005" spans="1:12" s="37" customFormat="1" x14ac:dyDescent="0.25">
      <c r="A1005" s="30">
        <f>IF(F1005&lt;&gt;"",1+MAX($A$7:A1004),"")</f>
        <v>844</v>
      </c>
      <c r="B1005" s="31"/>
      <c r="C1005" s="43" t="s">
        <v>161</v>
      </c>
      <c r="D1005" s="44">
        <v>4</v>
      </c>
      <c r="E1005" s="28">
        <v>0</v>
      </c>
      <c r="F1005" s="32">
        <f t="shared" si="193"/>
        <v>4</v>
      </c>
      <c r="G1005" s="29" t="s">
        <v>66</v>
      </c>
      <c r="H1005" s="29"/>
      <c r="I1005" s="29"/>
      <c r="J1005" s="33"/>
      <c r="K1005" s="34">
        <f t="shared" si="194"/>
        <v>0</v>
      </c>
      <c r="L1005" s="35"/>
    </row>
    <row r="1006" spans="1:12" s="37" customFormat="1" x14ac:dyDescent="0.25">
      <c r="A1006" s="30">
        <f>IF(F1006&lt;&gt;"",1+MAX($A$7:A1005),"")</f>
        <v>845</v>
      </c>
      <c r="B1006" s="31"/>
      <c r="C1006" s="43" t="s">
        <v>162</v>
      </c>
      <c r="D1006" s="44">
        <v>3</v>
      </c>
      <c r="E1006" s="28">
        <v>0</v>
      </c>
      <c r="F1006" s="32">
        <f t="shared" si="193"/>
        <v>3</v>
      </c>
      <c r="G1006" s="29" t="s">
        <v>66</v>
      </c>
      <c r="H1006" s="29"/>
      <c r="I1006" s="29"/>
      <c r="J1006" s="33"/>
      <c r="K1006" s="34">
        <f t="shared" si="194"/>
        <v>0</v>
      </c>
      <c r="L1006" s="35"/>
    </row>
    <row r="1007" spans="1:12" s="37" customFormat="1" x14ac:dyDescent="0.25">
      <c r="A1007" s="30">
        <f>IF(F1007&lt;&gt;"",1+MAX($A$7:A1006),"")</f>
        <v>846</v>
      </c>
      <c r="B1007" s="31"/>
      <c r="C1007" s="43" t="s">
        <v>163</v>
      </c>
      <c r="D1007" s="44">
        <v>2</v>
      </c>
      <c r="E1007" s="28">
        <v>0</v>
      </c>
      <c r="F1007" s="32">
        <f t="shared" si="193"/>
        <v>2</v>
      </c>
      <c r="G1007" s="29" t="s">
        <v>66</v>
      </c>
      <c r="H1007" s="29"/>
      <c r="I1007" s="29"/>
      <c r="J1007" s="33"/>
      <c r="K1007" s="34">
        <f t="shared" si="194"/>
        <v>0</v>
      </c>
      <c r="L1007" s="35"/>
    </row>
    <row r="1008" spans="1:12" s="37" customFormat="1" x14ac:dyDescent="0.25">
      <c r="A1008" s="30">
        <f>IF(F1008&lt;&gt;"",1+MAX($A$7:A1007),"")</f>
        <v>847</v>
      </c>
      <c r="B1008" s="31"/>
      <c r="C1008" s="43" t="s">
        <v>164</v>
      </c>
      <c r="D1008" s="44">
        <v>5</v>
      </c>
      <c r="E1008" s="28">
        <v>0</v>
      </c>
      <c r="F1008" s="32">
        <f t="shared" si="193"/>
        <v>5</v>
      </c>
      <c r="G1008" s="29" t="s">
        <v>66</v>
      </c>
      <c r="H1008" s="29"/>
      <c r="I1008" s="29"/>
      <c r="J1008" s="33"/>
      <c r="K1008" s="34">
        <f t="shared" si="194"/>
        <v>0</v>
      </c>
      <c r="L1008" s="35"/>
    </row>
    <row r="1009" spans="1:12" s="37" customFormat="1" x14ac:dyDescent="0.25">
      <c r="A1009" s="30">
        <f>IF(F1009&lt;&gt;"",1+MAX($A$7:A1008),"")</f>
        <v>848</v>
      </c>
      <c r="B1009" s="31"/>
      <c r="C1009" s="43" t="s">
        <v>165</v>
      </c>
      <c r="D1009" s="44">
        <v>1</v>
      </c>
      <c r="E1009" s="28">
        <v>0</v>
      </c>
      <c r="F1009" s="32">
        <f t="shared" si="193"/>
        <v>1</v>
      </c>
      <c r="G1009" s="29" t="s">
        <v>66</v>
      </c>
      <c r="H1009" s="29"/>
      <c r="I1009" s="29"/>
      <c r="J1009" s="33"/>
      <c r="K1009" s="34">
        <f t="shared" si="194"/>
        <v>0</v>
      </c>
      <c r="L1009" s="35"/>
    </row>
    <row r="1010" spans="1:12" s="37" customFormat="1" x14ac:dyDescent="0.25">
      <c r="A1010" s="30" t="str">
        <f>IF(F1010&lt;&gt;"",1+MAX($A$7:A1009),"")</f>
        <v/>
      </c>
      <c r="B1010" s="31"/>
      <c r="C1010" s="43"/>
      <c r="D1010" s="44"/>
      <c r="E1010" s="28"/>
      <c r="F1010" s="32"/>
      <c r="G1010" s="29"/>
      <c r="H1010" s="29"/>
      <c r="I1010" s="29"/>
      <c r="J1010" s="33"/>
      <c r="K1010" s="34"/>
      <c r="L1010" s="35"/>
    </row>
    <row r="1011" spans="1:12" s="37" customFormat="1" x14ac:dyDescent="0.25">
      <c r="A1011" s="30" t="str">
        <f>IF(F1011&lt;&gt;"",1+MAX($A$7:A1010),"")</f>
        <v/>
      </c>
      <c r="B1011" s="31"/>
      <c r="C1011" s="49" t="s">
        <v>166</v>
      </c>
      <c r="D1011" s="44"/>
      <c r="E1011" s="28"/>
      <c r="F1011" s="32"/>
      <c r="G1011" s="29"/>
      <c r="H1011" s="29"/>
      <c r="I1011" s="29"/>
      <c r="J1011" s="33"/>
      <c r="K1011" s="34"/>
      <c r="L1011" s="35"/>
    </row>
    <row r="1012" spans="1:12" s="37" customFormat="1" x14ac:dyDescent="0.25">
      <c r="A1012" s="30">
        <f>IF(F1012&lt;&gt;"",1+MAX($A$7:A1011),"")</f>
        <v>849</v>
      </c>
      <c r="B1012" s="31"/>
      <c r="C1012" s="43" t="s">
        <v>167</v>
      </c>
      <c r="D1012" s="44">
        <v>4</v>
      </c>
      <c r="E1012" s="28">
        <v>0</v>
      </c>
      <c r="F1012" s="32">
        <f t="shared" ref="F1012:F1014" si="195">D1012*(1+E1012)</f>
        <v>4</v>
      </c>
      <c r="G1012" s="29" t="s">
        <v>66</v>
      </c>
      <c r="H1012" s="29"/>
      <c r="I1012" s="29"/>
      <c r="J1012" s="33"/>
      <c r="K1012" s="34">
        <f t="shared" ref="K1012:K1014" si="196">J1012*F1012</f>
        <v>0</v>
      </c>
      <c r="L1012" s="35"/>
    </row>
    <row r="1013" spans="1:12" s="37" customFormat="1" x14ac:dyDescent="0.25">
      <c r="A1013" s="30">
        <f>IF(F1013&lt;&gt;"",1+MAX($A$7:A1012),"")</f>
        <v>850</v>
      </c>
      <c r="B1013" s="31"/>
      <c r="C1013" s="43" t="s">
        <v>168</v>
      </c>
      <c r="D1013" s="44">
        <v>3</v>
      </c>
      <c r="E1013" s="28">
        <v>0</v>
      </c>
      <c r="F1013" s="32">
        <f t="shared" si="195"/>
        <v>3</v>
      </c>
      <c r="G1013" s="29" t="s">
        <v>66</v>
      </c>
      <c r="H1013" s="29"/>
      <c r="I1013" s="29"/>
      <c r="J1013" s="33"/>
      <c r="K1013" s="34">
        <f t="shared" si="196"/>
        <v>0</v>
      </c>
      <c r="L1013" s="35"/>
    </row>
    <row r="1014" spans="1:12" s="37" customFormat="1" x14ac:dyDescent="0.25">
      <c r="A1014" s="30">
        <f>IF(F1014&lt;&gt;"",1+MAX($A$7:A1013),"")</f>
        <v>851</v>
      </c>
      <c r="B1014" s="31"/>
      <c r="C1014" s="43" t="s">
        <v>169</v>
      </c>
      <c r="D1014" s="44">
        <v>1</v>
      </c>
      <c r="E1014" s="28">
        <v>0</v>
      </c>
      <c r="F1014" s="32">
        <f t="shared" si="195"/>
        <v>1</v>
      </c>
      <c r="G1014" s="29" t="s">
        <v>66</v>
      </c>
      <c r="H1014" s="29"/>
      <c r="I1014" s="29"/>
      <c r="J1014" s="33"/>
      <c r="K1014" s="34">
        <f t="shared" si="196"/>
        <v>0</v>
      </c>
      <c r="L1014" s="35"/>
    </row>
    <row r="1015" spans="1:12" s="37" customFormat="1" x14ac:dyDescent="0.25">
      <c r="A1015" s="30" t="str">
        <f>IF(F1015&lt;&gt;"",1+MAX($A$7:A1014),"")</f>
        <v/>
      </c>
      <c r="B1015" s="31"/>
      <c r="C1015" s="43"/>
      <c r="D1015" s="44"/>
      <c r="E1015" s="28"/>
      <c r="F1015" s="32"/>
      <c r="G1015" s="29"/>
      <c r="H1015" s="29"/>
      <c r="I1015" s="29"/>
      <c r="J1015" s="33"/>
      <c r="K1015" s="34"/>
      <c r="L1015" s="35"/>
    </row>
    <row r="1016" spans="1:12" s="37" customFormat="1" x14ac:dyDescent="0.25">
      <c r="A1016" s="30" t="str">
        <f>IF(F1016&lt;&gt;"",1+MAX($A$7:A1015),"")</f>
        <v/>
      </c>
      <c r="B1016" s="31"/>
      <c r="C1016" s="49" t="s">
        <v>170</v>
      </c>
      <c r="D1016" s="44"/>
      <c r="E1016" s="28"/>
      <c r="F1016" s="32"/>
      <c r="G1016" s="29"/>
      <c r="H1016" s="29"/>
      <c r="I1016" s="29"/>
      <c r="J1016" s="33"/>
      <c r="K1016" s="34"/>
      <c r="L1016" s="35"/>
    </row>
    <row r="1017" spans="1:12" s="37" customFormat="1" x14ac:dyDescent="0.25">
      <c r="A1017" s="30">
        <f>IF(F1017&lt;&gt;"",1+MAX($A$7:A1016),"")</f>
        <v>852</v>
      </c>
      <c r="B1017" s="31"/>
      <c r="C1017" s="43" t="s">
        <v>171</v>
      </c>
      <c r="D1017" s="44">
        <v>6</v>
      </c>
      <c r="E1017" s="28">
        <v>0</v>
      </c>
      <c r="F1017" s="32">
        <f t="shared" ref="F1017:F1019" si="197">D1017*(1+E1017)</f>
        <v>6</v>
      </c>
      <c r="G1017" s="29" t="s">
        <v>66</v>
      </c>
      <c r="H1017" s="29"/>
      <c r="I1017" s="29"/>
      <c r="J1017" s="33"/>
      <c r="K1017" s="34">
        <f t="shared" ref="K1017:K1019" si="198">J1017*F1017</f>
        <v>0</v>
      </c>
      <c r="L1017" s="35"/>
    </row>
    <row r="1018" spans="1:12" s="37" customFormat="1" x14ac:dyDescent="0.25">
      <c r="A1018" s="30">
        <f>IF(F1018&lt;&gt;"",1+MAX($A$7:A1017),"")</f>
        <v>853</v>
      </c>
      <c r="B1018" s="31"/>
      <c r="C1018" s="43" t="s">
        <v>172</v>
      </c>
      <c r="D1018" s="44">
        <v>2</v>
      </c>
      <c r="E1018" s="28">
        <v>0</v>
      </c>
      <c r="F1018" s="32">
        <f t="shared" si="197"/>
        <v>2</v>
      </c>
      <c r="G1018" s="29" t="s">
        <v>66</v>
      </c>
      <c r="H1018" s="29"/>
      <c r="I1018" s="29"/>
      <c r="J1018" s="33"/>
      <c r="K1018" s="34">
        <f t="shared" si="198"/>
        <v>0</v>
      </c>
      <c r="L1018" s="35"/>
    </row>
    <row r="1019" spans="1:12" s="37" customFormat="1" x14ac:dyDescent="0.25">
      <c r="A1019" s="30">
        <f>IF(F1019&lt;&gt;"",1+MAX($A$7:A1018),"")</f>
        <v>854</v>
      </c>
      <c r="B1019" s="31"/>
      <c r="C1019" s="43" t="s">
        <v>173</v>
      </c>
      <c r="D1019" s="44">
        <v>3</v>
      </c>
      <c r="E1019" s="28">
        <v>0</v>
      </c>
      <c r="F1019" s="32">
        <f t="shared" si="197"/>
        <v>3</v>
      </c>
      <c r="G1019" s="29" t="s">
        <v>66</v>
      </c>
      <c r="H1019" s="29"/>
      <c r="I1019" s="29"/>
      <c r="J1019" s="33"/>
      <c r="K1019" s="34">
        <f t="shared" si="198"/>
        <v>0</v>
      </c>
      <c r="L1019" s="35"/>
    </row>
    <row r="1020" spans="1:12" s="37" customFormat="1" x14ac:dyDescent="0.25">
      <c r="A1020" s="30" t="str">
        <f>IF(F1020&lt;&gt;"",1+MAX($A$7:A1019),"")</f>
        <v/>
      </c>
      <c r="B1020" s="31"/>
      <c r="C1020" s="43"/>
      <c r="D1020" s="44"/>
      <c r="E1020" s="28"/>
      <c r="F1020" s="32"/>
      <c r="G1020" s="29"/>
      <c r="H1020" s="29"/>
      <c r="I1020" s="29"/>
      <c r="J1020" s="33"/>
      <c r="K1020" s="34"/>
      <c r="L1020" s="35"/>
    </row>
    <row r="1021" spans="1:12" s="37" customFormat="1" x14ac:dyDescent="0.25">
      <c r="A1021" s="30" t="str">
        <f>IF(F1021&lt;&gt;"",1+MAX($A$7:A1020),"")</f>
        <v/>
      </c>
      <c r="B1021" s="31"/>
      <c r="C1021" s="49" t="s">
        <v>174</v>
      </c>
      <c r="D1021" s="44"/>
      <c r="E1021" s="28"/>
      <c r="F1021" s="32"/>
      <c r="G1021" s="29"/>
      <c r="H1021" s="29"/>
      <c r="I1021" s="29"/>
      <c r="J1021" s="33"/>
      <c r="K1021" s="34"/>
      <c r="L1021" s="35"/>
    </row>
    <row r="1022" spans="1:12" s="37" customFormat="1" x14ac:dyDescent="0.25">
      <c r="A1022" s="30">
        <f>IF(F1022&lt;&gt;"",1+MAX($A$7:A1021),"")</f>
        <v>855</v>
      </c>
      <c r="B1022" s="31"/>
      <c r="C1022" s="43" t="s">
        <v>175</v>
      </c>
      <c r="D1022" s="44">
        <v>5</v>
      </c>
      <c r="E1022" s="28">
        <v>0</v>
      </c>
      <c r="F1022" s="32">
        <f t="shared" ref="F1022" si="199">D1022*(1+E1022)</f>
        <v>5</v>
      </c>
      <c r="G1022" s="29" t="s">
        <v>66</v>
      </c>
      <c r="H1022" s="29"/>
      <c r="I1022" s="29"/>
      <c r="J1022" s="33"/>
      <c r="K1022" s="34">
        <f t="shared" ref="K1022" si="200">J1022*F1022</f>
        <v>0</v>
      </c>
      <c r="L1022" s="35"/>
    </row>
    <row r="1023" spans="1:12" s="37" customFormat="1" x14ac:dyDescent="0.25">
      <c r="A1023" s="30" t="str">
        <f>IF(F1023&lt;&gt;"",1+MAX($A$7:A1022),"")</f>
        <v/>
      </c>
      <c r="B1023" s="31"/>
      <c r="C1023" s="43"/>
      <c r="D1023" s="44"/>
      <c r="E1023" s="28"/>
      <c r="F1023" s="32"/>
      <c r="G1023" s="29"/>
      <c r="H1023" s="29"/>
      <c r="I1023" s="29"/>
      <c r="J1023" s="33"/>
      <c r="K1023" s="34"/>
      <c r="L1023" s="35"/>
    </row>
    <row r="1024" spans="1:12" s="37" customFormat="1" x14ac:dyDescent="0.25">
      <c r="A1024" s="30" t="str">
        <f>IF(F1024&lt;&gt;"",1+MAX($A$7:A1023),"")</f>
        <v/>
      </c>
      <c r="B1024" s="31"/>
      <c r="C1024" s="49" t="s">
        <v>176</v>
      </c>
      <c r="D1024" s="44"/>
      <c r="E1024" s="28"/>
      <c r="F1024" s="32"/>
      <c r="G1024" s="29"/>
      <c r="H1024" s="29"/>
      <c r="I1024" s="29"/>
      <c r="J1024" s="33"/>
      <c r="K1024" s="34"/>
      <c r="L1024" s="35"/>
    </row>
    <row r="1025" spans="1:12" s="37" customFormat="1" x14ac:dyDescent="0.25">
      <c r="A1025" s="30">
        <f>IF(F1025&lt;&gt;"",1+MAX($A$7:A1024),"")</f>
        <v>856</v>
      </c>
      <c r="B1025" s="31"/>
      <c r="C1025" s="43" t="s">
        <v>177</v>
      </c>
      <c r="D1025" s="44">
        <v>1</v>
      </c>
      <c r="E1025" s="28">
        <v>0</v>
      </c>
      <c r="F1025" s="32">
        <f t="shared" ref="F1025:F1034" si="201">D1025*(1+E1025)</f>
        <v>1</v>
      </c>
      <c r="G1025" s="29" t="s">
        <v>66</v>
      </c>
      <c r="H1025" s="29"/>
      <c r="I1025" s="29"/>
      <c r="J1025" s="33"/>
      <c r="K1025" s="34">
        <f t="shared" ref="K1025:K1034" si="202">J1025*F1025</f>
        <v>0</v>
      </c>
      <c r="L1025" s="35"/>
    </row>
    <row r="1026" spans="1:12" s="37" customFormat="1" x14ac:dyDescent="0.25">
      <c r="A1026" s="30">
        <f>IF(F1026&lt;&gt;"",1+MAX($A$7:A1025),"")</f>
        <v>857</v>
      </c>
      <c r="B1026" s="31"/>
      <c r="C1026" s="43" t="s">
        <v>178</v>
      </c>
      <c r="D1026" s="44">
        <v>4</v>
      </c>
      <c r="E1026" s="28">
        <v>0</v>
      </c>
      <c r="F1026" s="32">
        <f t="shared" si="201"/>
        <v>4</v>
      </c>
      <c r="G1026" s="29" t="s">
        <v>66</v>
      </c>
      <c r="H1026" s="29"/>
      <c r="I1026" s="29"/>
      <c r="J1026" s="33"/>
      <c r="K1026" s="34">
        <f t="shared" si="202"/>
        <v>0</v>
      </c>
      <c r="L1026" s="35"/>
    </row>
    <row r="1027" spans="1:12" s="37" customFormat="1" x14ac:dyDescent="0.25">
      <c r="A1027" s="30">
        <f>IF(F1027&lt;&gt;"",1+MAX($A$7:A1026),"")</f>
        <v>858</v>
      </c>
      <c r="B1027" s="31"/>
      <c r="C1027" s="43" t="s">
        <v>179</v>
      </c>
      <c r="D1027" s="44">
        <v>3</v>
      </c>
      <c r="E1027" s="28">
        <v>0</v>
      </c>
      <c r="F1027" s="32">
        <f t="shared" si="201"/>
        <v>3</v>
      </c>
      <c r="G1027" s="29" t="s">
        <v>66</v>
      </c>
      <c r="H1027" s="29"/>
      <c r="I1027" s="29"/>
      <c r="J1027" s="33"/>
      <c r="K1027" s="34">
        <f t="shared" si="202"/>
        <v>0</v>
      </c>
      <c r="L1027" s="35"/>
    </row>
    <row r="1028" spans="1:12" s="37" customFormat="1" x14ac:dyDescent="0.25">
      <c r="A1028" s="30">
        <f>IF(F1028&lt;&gt;"",1+MAX($A$7:A1027),"")</f>
        <v>859</v>
      </c>
      <c r="B1028" s="31"/>
      <c r="C1028" s="43" t="s">
        <v>180</v>
      </c>
      <c r="D1028" s="44">
        <v>1</v>
      </c>
      <c r="E1028" s="28">
        <v>0</v>
      </c>
      <c r="F1028" s="32">
        <f t="shared" si="201"/>
        <v>1</v>
      </c>
      <c r="G1028" s="29" t="s">
        <v>66</v>
      </c>
      <c r="H1028" s="29"/>
      <c r="I1028" s="29"/>
      <c r="J1028" s="33"/>
      <c r="K1028" s="34">
        <f t="shared" si="202"/>
        <v>0</v>
      </c>
      <c r="L1028" s="35"/>
    </row>
    <row r="1029" spans="1:12" s="37" customFormat="1" x14ac:dyDescent="0.25">
      <c r="A1029" s="30">
        <f>IF(F1029&lt;&gt;"",1+MAX($A$7:A1028),"")</f>
        <v>860</v>
      </c>
      <c r="B1029" s="31"/>
      <c r="C1029" s="43" t="s">
        <v>181</v>
      </c>
      <c r="D1029" s="44">
        <v>1</v>
      </c>
      <c r="E1029" s="28">
        <v>0</v>
      </c>
      <c r="F1029" s="32">
        <f t="shared" si="201"/>
        <v>1</v>
      </c>
      <c r="G1029" s="29" t="s">
        <v>66</v>
      </c>
      <c r="H1029" s="29"/>
      <c r="I1029" s="29"/>
      <c r="J1029" s="33"/>
      <c r="K1029" s="34">
        <f t="shared" si="202"/>
        <v>0</v>
      </c>
      <c r="L1029" s="35"/>
    </row>
    <row r="1030" spans="1:12" s="37" customFormat="1" x14ac:dyDescent="0.25">
      <c r="A1030" s="30">
        <f>IF(F1030&lt;&gt;"",1+MAX($A$7:A1029),"")</f>
        <v>861</v>
      </c>
      <c r="B1030" s="31"/>
      <c r="C1030" s="43" t="s">
        <v>182</v>
      </c>
      <c r="D1030" s="44">
        <v>4</v>
      </c>
      <c r="E1030" s="28">
        <v>0</v>
      </c>
      <c r="F1030" s="32">
        <f t="shared" si="201"/>
        <v>4</v>
      </c>
      <c r="G1030" s="29" t="s">
        <v>66</v>
      </c>
      <c r="H1030" s="29"/>
      <c r="I1030" s="29"/>
      <c r="J1030" s="33"/>
      <c r="K1030" s="34">
        <f t="shared" si="202"/>
        <v>0</v>
      </c>
      <c r="L1030" s="35"/>
    </row>
    <row r="1031" spans="1:12" s="37" customFormat="1" x14ac:dyDescent="0.25">
      <c r="A1031" s="30">
        <f>IF(F1031&lt;&gt;"",1+MAX($A$7:A1030),"")</f>
        <v>862</v>
      </c>
      <c r="B1031" s="31"/>
      <c r="C1031" s="43" t="s">
        <v>183</v>
      </c>
      <c r="D1031" s="44">
        <v>3</v>
      </c>
      <c r="E1031" s="28">
        <v>0</v>
      </c>
      <c r="F1031" s="32">
        <f t="shared" si="201"/>
        <v>3</v>
      </c>
      <c r="G1031" s="29" t="s">
        <v>66</v>
      </c>
      <c r="H1031" s="29"/>
      <c r="I1031" s="29"/>
      <c r="J1031" s="33"/>
      <c r="K1031" s="34">
        <f t="shared" si="202"/>
        <v>0</v>
      </c>
      <c r="L1031" s="35"/>
    </row>
    <row r="1032" spans="1:12" s="37" customFormat="1" x14ac:dyDescent="0.25">
      <c r="A1032" s="30">
        <f>IF(F1032&lt;&gt;"",1+MAX($A$7:A1031),"")</f>
        <v>863</v>
      </c>
      <c r="B1032" s="31"/>
      <c r="C1032" s="43" t="s">
        <v>184</v>
      </c>
      <c r="D1032" s="44">
        <v>11</v>
      </c>
      <c r="E1032" s="28">
        <v>0</v>
      </c>
      <c r="F1032" s="32">
        <f t="shared" si="201"/>
        <v>11</v>
      </c>
      <c r="G1032" s="29" t="s">
        <v>66</v>
      </c>
      <c r="H1032" s="29"/>
      <c r="I1032" s="29"/>
      <c r="J1032" s="33"/>
      <c r="K1032" s="34">
        <f t="shared" si="202"/>
        <v>0</v>
      </c>
      <c r="L1032" s="35"/>
    </row>
    <row r="1033" spans="1:12" s="37" customFormat="1" x14ac:dyDescent="0.25">
      <c r="A1033" s="30">
        <f>IF(F1033&lt;&gt;"",1+MAX($A$7:A1032),"")</f>
        <v>864</v>
      </c>
      <c r="B1033" s="31"/>
      <c r="C1033" s="43" t="s">
        <v>185</v>
      </c>
      <c r="D1033" s="44">
        <v>1</v>
      </c>
      <c r="E1033" s="28">
        <v>0</v>
      </c>
      <c r="F1033" s="32">
        <f t="shared" si="201"/>
        <v>1</v>
      </c>
      <c r="G1033" s="29" t="s">
        <v>66</v>
      </c>
      <c r="H1033" s="29"/>
      <c r="I1033" s="29"/>
      <c r="J1033" s="33"/>
      <c r="K1033" s="34">
        <f t="shared" si="202"/>
        <v>0</v>
      </c>
      <c r="L1033" s="35"/>
    </row>
    <row r="1034" spans="1:12" s="37" customFormat="1" x14ac:dyDescent="0.25">
      <c r="A1034" s="30">
        <f>IF(F1034&lt;&gt;"",1+MAX($A$7:A1033),"")</f>
        <v>865</v>
      </c>
      <c r="B1034" s="31"/>
      <c r="C1034" s="43" t="s">
        <v>186</v>
      </c>
      <c r="D1034" s="44">
        <v>1</v>
      </c>
      <c r="E1034" s="28">
        <v>0</v>
      </c>
      <c r="F1034" s="32">
        <f t="shared" si="201"/>
        <v>1</v>
      </c>
      <c r="G1034" s="29" t="s">
        <v>66</v>
      </c>
      <c r="H1034" s="29"/>
      <c r="I1034" s="29"/>
      <c r="J1034" s="33"/>
      <c r="K1034" s="34">
        <f t="shared" si="202"/>
        <v>0</v>
      </c>
      <c r="L1034" s="35"/>
    </row>
    <row r="1035" spans="1:12" s="37" customFormat="1" ht="15.75" thickBot="1" x14ac:dyDescent="0.3">
      <c r="A1035" s="30" t="str">
        <f>IF(F1035&lt;&gt;"",1+MAX($A$7:A1034),"")</f>
        <v/>
      </c>
      <c r="B1035" s="31"/>
      <c r="C1035" s="49"/>
      <c r="D1035" s="44"/>
      <c r="E1035" s="28"/>
      <c r="F1035" s="32"/>
      <c r="G1035" s="29"/>
      <c r="H1035" s="29"/>
      <c r="I1035" s="29"/>
      <c r="J1035" s="33"/>
      <c r="K1035" s="34"/>
      <c r="L1035" s="35"/>
    </row>
    <row r="1036" spans="1:12" ht="15.75" thickBot="1" x14ac:dyDescent="0.3">
      <c r="A1036" s="99" t="str">
        <f>IF(F1036&lt;&gt;"",1+MAX($A$7:A1035),"")</f>
        <v/>
      </c>
      <c r="B1036" s="7" t="s">
        <v>58</v>
      </c>
      <c r="C1036" s="48" t="s">
        <v>38</v>
      </c>
      <c r="D1036" s="102"/>
      <c r="E1036" s="8"/>
      <c r="F1036" s="8"/>
      <c r="G1036" s="7"/>
      <c r="H1036" s="7"/>
      <c r="I1036" s="7"/>
      <c r="J1036" s="25"/>
      <c r="K1036" s="21"/>
      <c r="L1036" s="9">
        <f>SUM(K1037:K1208)</f>
        <v>0</v>
      </c>
    </row>
    <row r="1037" spans="1:12" s="37" customFormat="1" x14ac:dyDescent="0.25">
      <c r="A1037" s="30" t="str">
        <f>IF(F1037&lt;&gt;"",1+MAX($A$7:A1036),"")</f>
        <v/>
      </c>
      <c r="B1037" s="31"/>
      <c r="C1037" s="43"/>
      <c r="D1037" s="44"/>
      <c r="E1037" s="28"/>
      <c r="F1037" s="32"/>
      <c r="G1037" s="29"/>
      <c r="H1037" s="29"/>
      <c r="I1037" s="29"/>
      <c r="J1037" s="33"/>
      <c r="K1037" s="34"/>
      <c r="L1037" s="35"/>
    </row>
    <row r="1038" spans="1:12" s="37" customFormat="1" x14ac:dyDescent="0.25">
      <c r="A1038" s="30" t="str">
        <f>IF(F1038&lt;&gt;"",1+MAX($A$7:A1037),"")</f>
        <v/>
      </c>
      <c r="B1038" s="31"/>
      <c r="C1038" s="49" t="s">
        <v>246</v>
      </c>
      <c r="D1038" s="44"/>
      <c r="E1038" s="28"/>
      <c r="F1038" s="32"/>
      <c r="G1038" s="29"/>
      <c r="H1038" s="29"/>
      <c r="I1038" s="29"/>
      <c r="J1038" s="33"/>
      <c r="K1038" s="34"/>
      <c r="L1038" s="35"/>
    </row>
    <row r="1039" spans="1:12" s="37" customFormat="1" x14ac:dyDescent="0.25">
      <c r="A1039" s="30">
        <f>IF(F1039&lt;&gt;"",1+MAX($A$7:A1038),"")</f>
        <v>866</v>
      </c>
      <c r="B1039" s="31"/>
      <c r="C1039" s="37" t="s">
        <v>459</v>
      </c>
      <c r="D1039" s="46">
        <v>68</v>
      </c>
      <c r="E1039" s="28">
        <v>0</v>
      </c>
      <c r="F1039" s="32">
        <f t="shared" ref="F1039:F1089" si="203">D1039*(1+E1039)</f>
        <v>68</v>
      </c>
      <c r="G1039" s="29" t="s">
        <v>66</v>
      </c>
      <c r="H1039" s="29"/>
      <c r="I1039" s="29"/>
      <c r="J1039" s="33"/>
      <c r="K1039" s="34">
        <f t="shared" ref="K1039:K1089" si="204">J1039*F1039</f>
        <v>0</v>
      </c>
      <c r="L1039" s="35"/>
    </row>
    <row r="1040" spans="1:12" s="37" customFormat="1" x14ac:dyDescent="0.25">
      <c r="A1040" s="30">
        <f>IF(F1040&lt;&gt;"",1+MAX($A$7:A1039),"")</f>
        <v>867</v>
      </c>
      <c r="B1040" s="31"/>
      <c r="C1040" s="37" t="s">
        <v>469</v>
      </c>
      <c r="D1040" s="46">
        <v>4</v>
      </c>
      <c r="E1040" s="28">
        <v>0</v>
      </c>
      <c r="F1040" s="32">
        <f t="shared" si="203"/>
        <v>4</v>
      </c>
      <c r="G1040" s="29" t="s">
        <v>66</v>
      </c>
      <c r="H1040" s="29"/>
      <c r="I1040" s="29"/>
      <c r="J1040" s="33"/>
      <c r="K1040" s="34">
        <f t="shared" si="204"/>
        <v>0</v>
      </c>
      <c r="L1040" s="35"/>
    </row>
    <row r="1041" spans="1:12" s="37" customFormat="1" x14ac:dyDescent="0.25">
      <c r="A1041" s="30">
        <f>IF(F1041&lt;&gt;"",1+MAX($A$7:A1040),"")</f>
        <v>868</v>
      </c>
      <c r="B1041" s="31"/>
      <c r="C1041" s="37" t="s">
        <v>460</v>
      </c>
      <c r="D1041" s="46">
        <v>12</v>
      </c>
      <c r="E1041" s="28">
        <v>0</v>
      </c>
      <c r="F1041" s="32">
        <f t="shared" si="203"/>
        <v>12</v>
      </c>
      <c r="G1041" s="29" t="s">
        <v>66</v>
      </c>
      <c r="H1041" s="29"/>
      <c r="I1041" s="29"/>
      <c r="J1041" s="33"/>
      <c r="K1041" s="34">
        <f t="shared" si="204"/>
        <v>0</v>
      </c>
      <c r="L1041" s="35"/>
    </row>
    <row r="1042" spans="1:12" s="37" customFormat="1" x14ac:dyDescent="0.25">
      <c r="A1042" s="30">
        <f>IF(F1042&lt;&gt;"",1+MAX($A$7:A1041),"")</f>
        <v>869</v>
      </c>
      <c r="B1042" s="31"/>
      <c r="C1042" s="37" t="s">
        <v>461</v>
      </c>
      <c r="D1042" s="46">
        <v>39</v>
      </c>
      <c r="E1042" s="28">
        <v>0</v>
      </c>
      <c r="F1042" s="32">
        <f t="shared" si="203"/>
        <v>39</v>
      </c>
      <c r="G1042" s="29" t="s">
        <v>66</v>
      </c>
      <c r="H1042" s="29"/>
      <c r="I1042" s="29"/>
      <c r="J1042" s="33"/>
      <c r="K1042" s="34">
        <f t="shared" si="204"/>
        <v>0</v>
      </c>
      <c r="L1042" s="35"/>
    </row>
    <row r="1043" spans="1:12" s="37" customFormat="1" x14ac:dyDescent="0.25">
      <c r="A1043" s="30">
        <f>IF(F1043&lt;&gt;"",1+MAX($A$7:A1042),"")</f>
        <v>870</v>
      </c>
      <c r="B1043" s="31"/>
      <c r="C1043" s="37" t="s">
        <v>462</v>
      </c>
      <c r="D1043" s="46">
        <v>2</v>
      </c>
      <c r="E1043" s="28">
        <v>0</v>
      </c>
      <c r="F1043" s="32">
        <f t="shared" si="203"/>
        <v>2</v>
      </c>
      <c r="G1043" s="29" t="s">
        <v>66</v>
      </c>
      <c r="H1043" s="29"/>
      <c r="I1043" s="29"/>
      <c r="J1043" s="33"/>
      <c r="K1043" s="34">
        <f t="shared" si="204"/>
        <v>0</v>
      </c>
      <c r="L1043" s="35"/>
    </row>
    <row r="1044" spans="1:12" s="37" customFormat="1" x14ac:dyDescent="0.25">
      <c r="A1044" s="30">
        <f>IF(F1044&lt;&gt;"",1+MAX($A$7:A1043),"")</f>
        <v>871</v>
      </c>
      <c r="B1044" s="31"/>
      <c r="C1044" s="37" t="s">
        <v>463</v>
      </c>
      <c r="D1044" s="46">
        <v>9</v>
      </c>
      <c r="E1044" s="28">
        <v>0</v>
      </c>
      <c r="F1044" s="32">
        <f t="shared" si="203"/>
        <v>9</v>
      </c>
      <c r="G1044" s="29" t="s">
        <v>66</v>
      </c>
      <c r="H1044" s="29"/>
      <c r="I1044" s="29"/>
      <c r="J1044" s="33"/>
      <c r="K1044" s="34">
        <f t="shared" si="204"/>
        <v>0</v>
      </c>
      <c r="L1044" s="35"/>
    </row>
    <row r="1045" spans="1:12" s="37" customFormat="1" x14ac:dyDescent="0.25">
      <c r="A1045" s="30">
        <f>IF(F1045&lt;&gt;"",1+MAX($A$7:A1044),"")</f>
        <v>872</v>
      </c>
      <c r="B1045" s="31"/>
      <c r="C1045" s="37" t="s">
        <v>464</v>
      </c>
      <c r="D1045" s="46">
        <v>23</v>
      </c>
      <c r="E1045" s="28">
        <v>0</v>
      </c>
      <c r="F1045" s="32">
        <f t="shared" si="203"/>
        <v>23</v>
      </c>
      <c r="G1045" s="29" t="s">
        <v>66</v>
      </c>
      <c r="H1045" s="29"/>
      <c r="I1045" s="29"/>
      <c r="J1045" s="33"/>
      <c r="K1045" s="34">
        <f t="shared" si="204"/>
        <v>0</v>
      </c>
      <c r="L1045" s="35"/>
    </row>
    <row r="1046" spans="1:12" s="37" customFormat="1" x14ac:dyDescent="0.25">
      <c r="A1046" s="30">
        <f>IF(F1046&lt;&gt;"",1+MAX($A$7:A1045),"")</f>
        <v>873</v>
      </c>
      <c r="B1046" s="31"/>
      <c r="C1046" s="37" t="s">
        <v>465</v>
      </c>
      <c r="D1046" s="46">
        <v>16</v>
      </c>
      <c r="E1046" s="28">
        <v>0</v>
      </c>
      <c r="F1046" s="32">
        <f t="shared" si="203"/>
        <v>16</v>
      </c>
      <c r="G1046" s="29" t="s">
        <v>66</v>
      </c>
      <c r="H1046" s="29"/>
      <c r="I1046" s="29"/>
      <c r="J1046" s="33"/>
      <c r="K1046" s="34">
        <f t="shared" si="204"/>
        <v>0</v>
      </c>
      <c r="L1046" s="35"/>
    </row>
    <row r="1047" spans="1:12" s="37" customFormat="1" x14ac:dyDescent="0.25">
      <c r="A1047" s="30">
        <f>IF(F1047&lt;&gt;"",1+MAX($A$7:A1046),"")</f>
        <v>874</v>
      </c>
      <c r="B1047" s="31"/>
      <c r="C1047" s="37" t="s">
        <v>466</v>
      </c>
      <c r="D1047" s="46">
        <v>71</v>
      </c>
      <c r="E1047" s="28">
        <v>0</v>
      </c>
      <c r="F1047" s="32">
        <f t="shared" si="203"/>
        <v>71</v>
      </c>
      <c r="G1047" s="29" t="s">
        <v>66</v>
      </c>
      <c r="H1047" s="29"/>
      <c r="I1047" s="29"/>
      <c r="J1047" s="33"/>
      <c r="K1047" s="34">
        <f t="shared" si="204"/>
        <v>0</v>
      </c>
      <c r="L1047" s="35"/>
    </row>
    <row r="1048" spans="1:12" s="37" customFormat="1" x14ac:dyDescent="0.25">
      <c r="A1048" s="30">
        <f>IF(F1048&lt;&gt;"",1+MAX($A$7:A1047),"")</f>
        <v>875</v>
      </c>
      <c r="B1048" s="31"/>
      <c r="C1048" s="37" t="s">
        <v>467</v>
      </c>
      <c r="D1048" s="46">
        <v>75</v>
      </c>
      <c r="E1048" s="28">
        <v>0</v>
      </c>
      <c r="F1048" s="32">
        <f t="shared" si="203"/>
        <v>75</v>
      </c>
      <c r="G1048" s="29" t="s">
        <v>66</v>
      </c>
      <c r="H1048" s="29"/>
      <c r="I1048" s="29"/>
      <c r="J1048" s="33"/>
      <c r="K1048" s="34">
        <f t="shared" si="204"/>
        <v>0</v>
      </c>
      <c r="L1048" s="35"/>
    </row>
    <row r="1049" spans="1:12" s="37" customFormat="1" x14ac:dyDescent="0.25">
      <c r="A1049" s="30">
        <f>IF(F1049&lt;&gt;"",1+MAX($A$7:A1048),"")</f>
        <v>876</v>
      </c>
      <c r="B1049" s="31"/>
      <c r="C1049" s="37" t="s">
        <v>468</v>
      </c>
      <c r="D1049" s="46">
        <v>3</v>
      </c>
      <c r="E1049" s="28">
        <v>0</v>
      </c>
      <c r="F1049" s="32">
        <f t="shared" si="203"/>
        <v>3</v>
      </c>
      <c r="G1049" s="29" t="s">
        <v>66</v>
      </c>
      <c r="H1049" s="29"/>
      <c r="I1049" s="29"/>
      <c r="J1049" s="33"/>
      <c r="K1049" s="34">
        <f t="shared" si="204"/>
        <v>0</v>
      </c>
      <c r="L1049" s="35"/>
    </row>
    <row r="1050" spans="1:12" s="37" customFormat="1" x14ac:dyDescent="0.25">
      <c r="A1050" s="30">
        <f>IF(F1050&lt;&gt;"",1+MAX($A$7:A1049),"")</f>
        <v>877</v>
      </c>
      <c r="B1050" s="31"/>
      <c r="C1050" s="37" t="s">
        <v>470</v>
      </c>
      <c r="D1050" s="46">
        <v>33</v>
      </c>
      <c r="E1050" s="28">
        <v>0</v>
      </c>
      <c r="F1050" s="32">
        <f t="shared" si="203"/>
        <v>33</v>
      </c>
      <c r="G1050" s="29" t="s">
        <v>66</v>
      </c>
      <c r="H1050" s="29"/>
      <c r="I1050" s="29"/>
      <c r="J1050" s="33"/>
      <c r="K1050" s="34">
        <f t="shared" si="204"/>
        <v>0</v>
      </c>
      <c r="L1050" s="35"/>
    </row>
    <row r="1051" spans="1:12" s="37" customFormat="1" x14ac:dyDescent="0.25">
      <c r="A1051" s="30">
        <f>IF(F1051&lt;&gt;"",1+MAX($A$7:A1050),"")</f>
        <v>878</v>
      </c>
      <c r="B1051" s="31"/>
      <c r="C1051" s="37" t="s">
        <v>471</v>
      </c>
      <c r="D1051" s="46">
        <v>6</v>
      </c>
      <c r="E1051" s="28">
        <v>0</v>
      </c>
      <c r="F1051" s="32">
        <f t="shared" si="203"/>
        <v>6</v>
      </c>
      <c r="G1051" s="29" t="s">
        <v>66</v>
      </c>
      <c r="H1051" s="29"/>
      <c r="I1051" s="29"/>
      <c r="J1051" s="33"/>
      <c r="K1051" s="34">
        <f t="shared" si="204"/>
        <v>0</v>
      </c>
      <c r="L1051" s="35"/>
    </row>
    <row r="1052" spans="1:12" s="37" customFormat="1" x14ac:dyDescent="0.25">
      <c r="A1052" s="30">
        <f>IF(F1052&lt;&gt;"",1+MAX($A$7:A1051),"")</f>
        <v>879</v>
      </c>
      <c r="B1052" s="31"/>
      <c r="C1052" s="37" t="s">
        <v>472</v>
      </c>
      <c r="D1052" s="46">
        <v>2</v>
      </c>
      <c r="E1052" s="28">
        <v>0</v>
      </c>
      <c r="F1052" s="32">
        <f t="shared" si="203"/>
        <v>2</v>
      </c>
      <c r="G1052" s="29" t="s">
        <v>66</v>
      </c>
      <c r="H1052" s="29"/>
      <c r="I1052" s="29"/>
      <c r="J1052" s="33"/>
      <c r="K1052" s="34">
        <f t="shared" si="204"/>
        <v>0</v>
      </c>
      <c r="L1052" s="35"/>
    </row>
    <row r="1053" spans="1:12" s="37" customFormat="1" x14ac:dyDescent="0.25">
      <c r="A1053" s="30">
        <f>IF(F1053&lt;&gt;"",1+MAX($A$7:A1052),"")</f>
        <v>880</v>
      </c>
      <c r="B1053" s="31"/>
      <c r="C1053" s="37" t="s">
        <v>473</v>
      </c>
      <c r="D1053" s="46">
        <v>5</v>
      </c>
      <c r="E1053" s="28">
        <v>0</v>
      </c>
      <c r="F1053" s="32">
        <f t="shared" si="203"/>
        <v>5</v>
      </c>
      <c r="G1053" s="29" t="s">
        <v>66</v>
      </c>
      <c r="H1053" s="29"/>
      <c r="I1053" s="29"/>
      <c r="J1053" s="33"/>
      <c r="K1053" s="34">
        <f t="shared" si="204"/>
        <v>0</v>
      </c>
      <c r="L1053" s="35"/>
    </row>
    <row r="1054" spans="1:12" s="37" customFormat="1" x14ac:dyDescent="0.25">
      <c r="A1054" s="30">
        <f>IF(F1054&lt;&gt;"",1+MAX($A$7:A1053),"")</f>
        <v>881</v>
      </c>
      <c r="B1054" s="31"/>
      <c r="C1054" s="37" t="s">
        <v>474</v>
      </c>
      <c r="D1054" s="46">
        <v>47</v>
      </c>
      <c r="E1054" s="28">
        <v>0</v>
      </c>
      <c r="F1054" s="32">
        <f t="shared" si="203"/>
        <v>47</v>
      </c>
      <c r="G1054" s="29" t="s">
        <v>66</v>
      </c>
      <c r="H1054" s="29"/>
      <c r="I1054" s="29"/>
      <c r="J1054" s="33"/>
      <c r="K1054" s="34">
        <f t="shared" si="204"/>
        <v>0</v>
      </c>
      <c r="L1054" s="35"/>
    </row>
    <row r="1055" spans="1:12" s="37" customFormat="1" x14ac:dyDescent="0.25">
      <c r="A1055" s="30">
        <f>IF(F1055&lt;&gt;"",1+MAX($A$7:A1054),"")</f>
        <v>882</v>
      </c>
      <c r="B1055" s="31"/>
      <c r="C1055" s="37" t="s">
        <v>475</v>
      </c>
      <c r="D1055" s="46">
        <v>111</v>
      </c>
      <c r="E1055" s="28">
        <v>0</v>
      </c>
      <c r="F1055" s="32">
        <f t="shared" si="203"/>
        <v>111</v>
      </c>
      <c r="G1055" s="29" t="s">
        <v>66</v>
      </c>
      <c r="H1055" s="29"/>
      <c r="I1055" s="29"/>
      <c r="J1055" s="33"/>
      <c r="K1055" s="34">
        <f t="shared" si="204"/>
        <v>0</v>
      </c>
      <c r="L1055" s="35"/>
    </row>
    <row r="1056" spans="1:12" s="37" customFormat="1" x14ac:dyDescent="0.25">
      <c r="A1056" s="30">
        <f>IF(F1056&lt;&gt;"",1+MAX($A$7:A1055),"")</f>
        <v>883</v>
      </c>
      <c r="B1056" s="31"/>
      <c r="C1056" s="37" t="s">
        <v>476</v>
      </c>
      <c r="D1056" s="46">
        <v>2</v>
      </c>
      <c r="E1056" s="28">
        <v>0</v>
      </c>
      <c r="F1056" s="32">
        <f t="shared" si="203"/>
        <v>2</v>
      </c>
      <c r="G1056" s="29" t="s">
        <v>66</v>
      </c>
      <c r="H1056" s="29"/>
      <c r="I1056" s="29"/>
      <c r="J1056" s="33"/>
      <c r="K1056" s="34">
        <f t="shared" si="204"/>
        <v>0</v>
      </c>
      <c r="L1056" s="35"/>
    </row>
    <row r="1057" spans="1:12" s="37" customFormat="1" x14ac:dyDescent="0.25">
      <c r="A1057" s="30">
        <f>IF(F1057&lt;&gt;"",1+MAX($A$7:A1056),"")</f>
        <v>884</v>
      </c>
      <c r="B1057" s="31"/>
      <c r="C1057" s="37" t="s">
        <v>478</v>
      </c>
      <c r="D1057" s="46">
        <v>8</v>
      </c>
      <c r="E1057" s="28">
        <v>0</v>
      </c>
      <c r="F1057" s="32">
        <f t="shared" si="203"/>
        <v>8</v>
      </c>
      <c r="G1057" s="29" t="s">
        <v>66</v>
      </c>
      <c r="H1057" s="29"/>
      <c r="I1057" s="29"/>
      <c r="J1057" s="33"/>
      <c r="K1057" s="34">
        <f t="shared" si="204"/>
        <v>0</v>
      </c>
      <c r="L1057" s="35"/>
    </row>
    <row r="1058" spans="1:12" s="37" customFormat="1" x14ac:dyDescent="0.25">
      <c r="A1058" s="30">
        <f>IF(F1058&lt;&gt;"",1+MAX($A$7:A1057),"")</f>
        <v>885</v>
      </c>
      <c r="B1058" s="31"/>
      <c r="C1058" s="37" t="s">
        <v>477</v>
      </c>
      <c r="D1058" s="46">
        <v>3</v>
      </c>
      <c r="E1058" s="28">
        <v>0</v>
      </c>
      <c r="F1058" s="32">
        <f t="shared" si="203"/>
        <v>3</v>
      </c>
      <c r="G1058" s="29" t="s">
        <v>66</v>
      </c>
      <c r="H1058" s="29"/>
      <c r="I1058" s="29"/>
      <c r="J1058" s="33"/>
      <c r="K1058" s="34">
        <f t="shared" si="204"/>
        <v>0</v>
      </c>
      <c r="L1058" s="35"/>
    </row>
    <row r="1059" spans="1:12" s="37" customFormat="1" x14ac:dyDescent="0.25">
      <c r="A1059" s="30">
        <f>IF(F1059&lt;&gt;"",1+MAX($A$7:A1058),"")</f>
        <v>886</v>
      </c>
      <c r="B1059" s="31"/>
      <c r="C1059" s="37" t="s">
        <v>479</v>
      </c>
      <c r="D1059" s="46">
        <v>1</v>
      </c>
      <c r="E1059" s="28">
        <v>0</v>
      </c>
      <c r="F1059" s="32">
        <f t="shared" si="203"/>
        <v>1</v>
      </c>
      <c r="G1059" s="29" t="s">
        <v>66</v>
      </c>
      <c r="H1059" s="29"/>
      <c r="I1059" s="29"/>
      <c r="J1059" s="33"/>
      <c r="K1059" s="34">
        <f t="shared" si="204"/>
        <v>0</v>
      </c>
      <c r="L1059" s="35"/>
    </row>
    <row r="1060" spans="1:12" s="37" customFormat="1" x14ac:dyDescent="0.25">
      <c r="A1060" s="30">
        <f>IF(F1060&lt;&gt;"",1+MAX($A$7:A1059),"")</f>
        <v>887</v>
      </c>
      <c r="B1060" s="31"/>
      <c r="C1060" s="37" t="s">
        <v>480</v>
      </c>
      <c r="D1060" s="46">
        <v>83</v>
      </c>
      <c r="E1060" s="28">
        <v>0</v>
      </c>
      <c r="F1060" s="32">
        <f t="shared" si="203"/>
        <v>83</v>
      </c>
      <c r="G1060" s="29" t="s">
        <v>66</v>
      </c>
      <c r="H1060" s="29"/>
      <c r="I1060" s="29"/>
      <c r="J1060" s="33"/>
      <c r="K1060" s="34">
        <f t="shared" si="204"/>
        <v>0</v>
      </c>
      <c r="L1060" s="35"/>
    </row>
    <row r="1061" spans="1:12" s="37" customFormat="1" x14ac:dyDescent="0.25">
      <c r="A1061" s="30">
        <f>IF(F1061&lt;&gt;"",1+MAX($A$7:A1060),"")</f>
        <v>888</v>
      </c>
      <c r="B1061" s="31"/>
      <c r="C1061" s="37" t="s">
        <v>481</v>
      </c>
      <c r="D1061" s="46">
        <v>4</v>
      </c>
      <c r="E1061" s="28">
        <v>0</v>
      </c>
      <c r="F1061" s="32">
        <f t="shared" si="203"/>
        <v>4</v>
      </c>
      <c r="G1061" s="29" t="s">
        <v>66</v>
      </c>
      <c r="H1061" s="29"/>
      <c r="I1061" s="29"/>
      <c r="J1061" s="33"/>
      <c r="K1061" s="34">
        <f t="shared" si="204"/>
        <v>0</v>
      </c>
      <c r="L1061" s="35"/>
    </row>
    <row r="1062" spans="1:12" s="37" customFormat="1" x14ac:dyDescent="0.25">
      <c r="A1062" s="30">
        <f>IF(F1062&lt;&gt;"",1+MAX($A$7:A1061),"")</f>
        <v>889</v>
      </c>
      <c r="B1062" s="31"/>
      <c r="C1062" s="37" t="s">
        <v>482</v>
      </c>
      <c r="D1062" s="46">
        <v>28</v>
      </c>
      <c r="E1062" s="28">
        <v>0</v>
      </c>
      <c r="F1062" s="32">
        <f t="shared" si="203"/>
        <v>28</v>
      </c>
      <c r="G1062" s="29" t="s">
        <v>66</v>
      </c>
      <c r="H1062" s="29"/>
      <c r="I1062" s="29"/>
      <c r="J1062" s="33"/>
      <c r="K1062" s="34">
        <f t="shared" si="204"/>
        <v>0</v>
      </c>
      <c r="L1062" s="35"/>
    </row>
    <row r="1063" spans="1:12" s="37" customFormat="1" x14ac:dyDescent="0.25">
      <c r="A1063" s="30">
        <f>IF(F1063&lt;&gt;"",1+MAX($A$7:A1062),"")</f>
        <v>890</v>
      </c>
      <c r="B1063" s="31"/>
      <c r="C1063" s="37" t="s">
        <v>483</v>
      </c>
      <c r="D1063" s="46">
        <v>13</v>
      </c>
      <c r="E1063" s="28">
        <v>0</v>
      </c>
      <c r="F1063" s="32">
        <f t="shared" si="203"/>
        <v>13</v>
      </c>
      <c r="G1063" s="29" t="s">
        <v>66</v>
      </c>
      <c r="H1063" s="29"/>
      <c r="I1063" s="29"/>
      <c r="J1063" s="33"/>
      <c r="K1063" s="34">
        <f t="shared" si="204"/>
        <v>0</v>
      </c>
      <c r="L1063" s="35"/>
    </row>
    <row r="1064" spans="1:12" s="37" customFormat="1" x14ac:dyDescent="0.25">
      <c r="A1064" s="30">
        <f>IF(F1064&lt;&gt;"",1+MAX($A$7:A1063),"")</f>
        <v>891</v>
      </c>
      <c r="B1064" s="31"/>
      <c r="C1064" s="37" t="s">
        <v>484</v>
      </c>
      <c r="D1064" s="46">
        <v>10</v>
      </c>
      <c r="E1064" s="28">
        <v>0</v>
      </c>
      <c r="F1064" s="32">
        <f t="shared" si="203"/>
        <v>10</v>
      </c>
      <c r="G1064" s="29" t="s">
        <v>66</v>
      </c>
      <c r="H1064" s="29"/>
      <c r="I1064" s="29"/>
      <c r="J1064" s="33"/>
      <c r="K1064" s="34">
        <f t="shared" si="204"/>
        <v>0</v>
      </c>
      <c r="L1064" s="35"/>
    </row>
    <row r="1065" spans="1:12" s="37" customFormat="1" x14ac:dyDescent="0.25">
      <c r="A1065" s="30">
        <f>IF(F1065&lt;&gt;"",1+MAX($A$7:A1064),"")</f>
        <v>892</v>
      </c>
      <c r="B1065" s="31"/>
      <c r="C1065" s="37" t="s">
        <v>485</v>
      </c>
      <c r="D1065" s="46">
        <v>5</v>
      </c>
      <c r="E1065" s="28">
        <v>0</v>
      </c>
      <c r="F1065" s="32">
        <f t="shared" si="203"/>
        <v>5</v>
      </c>
      <c r="G1065" s="29" t="s">
        <v>66</v>
      </c>
      <c r="H1065" s="29"/>
      <c r="I1065" s="29"/>
      <c r="J1065" s="33"/>
      <c r="K1065" s="34">
        <f t="shared" si="204"/>
        <v>0</v>
      </c>
      <c r="L1065" s="35"/>
    </row>
    <row r="1066" spans="1:12" s="37" customFormat="1" x14ac:dyDescent="0.25">
      <c r="A1066" s="30">
        <f>IF(F1066&lt;&gt;"",1+MAX($A$7:A1065),"")</f>
        <v>893</v>
      </c>
      <c r="B1066" s="31"/>
      <c r="C1066" s="37" t="s">
        <v>486</v>
      </c>
      <c r="D1066" s="46">
        <v>14</v>
      </c>
      <c r="E1066" s="28">
        <v>0</v>
      </c>
      <c r="F1066" s="32">
        <f t="shared" si="203"/>
        <v>14</v>
      </c>
      <c r="G1066" s="29" t="s">
        <v>66</v>
      </c>
      <c r="H1066" s="29"/>
      <c r="I1066" s="29"/>
      <c r="J1066" s="33"/>
      <c r="K1066" s="34">
        <f t="shared" si="204"/>
        <v>0</v>
      </c>
      <c r="L1066" s="35"/>
    </row>
    <row r="1067" spans="1:12" s="37" customFormat="1" x14ac:dyDescent="0.25">
      <c r="A1067" s="30">
        <f>IF(F1067&lt;&gt;"",1+MAX($A$7:A1066),"")</f>
        <v>894</v>
      </c>
      <c r="B1067" s="31"/>
      <c r="C1067" s="37" t="s">
        <v>487</v>
      </c>
      <c r="D1067" s="46">
        <v>5</v>
      </c>
      <c r="E1067" s="28">
        <v>0</v>
      </c>
      <c r="F1067" s="32">
        <f t="shared" si="203"/>
        <v>5</v>
      </c>
      <c r="G1067" s="29" t="s">
        <v>66</v>
      </c>
      <c r="H1067" s="29"/>
      <c r="I1067" s="29"/>
      <c r="J1067" s="33"/>
      <c r="K1067" s="34">
        <f t="shared" si="204"/>
        <v>0</v>
      </c>
      <c r="L1067" s="35"/>
    </row>
    <row r="1068" spans="1:12" s="37" customFormat="1" x14ac:dyDescent="0.25">
      <c r="A1068" s="30">
        <f>IF(F1068&lt;&gt;"",1+MAX($A$7:A1067),"")</f>
        <v>895</v>
      </c>
      <c r="B1068" s="31"/>
      <c r="C1068" s="37" t="s">
        <v>489</v>
      </c>
      <c r="D1068" s="46">
        <v>10</v>
      </c>
      <c r="E1068" s="28">
        <v>0</v>
      </c>
      <c r="F1068" s="32">
        <f t="shared" si="203"/>
        <v>10</v>
      </c>
      <c r="G1068" s="29" t="s">
        <v>66</v>
      </c>
      <c r="H1068" s="29"/>
      <c r="I1068" s="29"/>
      <c r="J1068" s="33"/>
      <c r="K1068" s="34">
        <f t="shared" si="204"/>
        <v>0</v>
      </c>
      <c r="L1068" s="35"/>
    </row>
    <row r="1069" spans="1:12" s="37" customFormat="1" x14ac:dyDescent="0.25">
      <c r="A1069" s="30">
        <f>IF(F1069&lt;&gt;"",1+MAX($A$7:A1068),"")</f>
        <v>896</v>
      </c>
      <c r="B1069" s="31"/>
      <c r="C1069" s="37" t="s">
        <v>490</v>
      </c>
      <c r="D1069" s="46">
        <v>8</v>
      </c>
      <c r="E1069" s="28">
        <v>0</v>
      </c>
      <c r="F1069" s="32">
        <f t="shared" si="203"/>
        <v>8</v>
      </c>
      <c r="G1069" s="29" t="s">
        <v>66</v>
      </c>
      <c r="H1069" s="29"/>
      <c r="I1069" s="29"/>
      <c r="J1069" s="33"/>
      <c r="K1069" s="34">
        <f t="shared" si="204"/>
        <v>0</v>
      </c>
      <c r="L1069" s="35"/>
    </row>
    <row r="1070" spans="1:12" s="37" customFormat="1" x14ac:dyDescent="0.25">
      <c r="A1070" s="30">
        <f>IF(F1070&lt;&gt;"",1+MAX($A$7:A1069),"")</f>
        <v>897</v>
      </c>
      <c r="B1070" s="31"/>
      <c r="C1070" s="37" t="s">
        <v>491</v>
      </c>
      <c r="D1070" s="46">
        <v>16</v>
      </c>
      <c r="E1070" s="28">
        <v>0</v>
      </c>
      <c r="F1070" s="32">
        <f t="shared" si="203"/>
        <v>16</v>
      </c>
      <c r="G1070" s="29" t="s">
        <v>66</v>
      </c>
      <c r="H1070" s="29"/>
      <c r="I1070" s="29"/>
      <c r="J1070" s="33"/>
      <c r="K1070" s="34">
        <f t="shared" si="204"/>
        <v>0</v>
      </c>
      <c r="L1070" s="35"/>
    </row>
    <row r="1071" spans="1:12" s="37" customFormat="1" ht="45" x14ac:dyDescent="0.25">
      <c r="A1071" s="30">
        <f>IF(F1071&lt;&gt;"",1+MAX($A$7:A1070),"")</f>
        <v>898</v>
      </c>
      <c r="B1071" s="31"/>
      <c r="C1071" s="50" t="s">
        <v>499</v>
      </c>
      <c r="D1071" s="46">
        <v>1</v>
      </c>
      <c r="E1071" s="28">
        <v>0</v>
      </c>
      <c r="F1071" s="32">
        <f t="shared" si="203"/>
        <v>1</v>
      </c>
      <c r="G1071" s="29" t="s">
        <v>66</v>
      </c>
      <c r="H1071" s="29"/>
      <c r="I1071" s="29"/>
      <c r="J1071" s="33"/>
      <c r="K1071" s="34">
        <f t="shared" si="204"/>
        <v>0</v>
      </c>
      <c r="L1071" s="35"/>
    </row>
    <row r="1072" spans="1:12" s="37" customFormat="1" ht="75" x14ac:dyDescent="0.25">
      <c r="A1072" s="30">
        <f>IF(F1072&lt;&gt;"",1+MAX($A$7:A1071),"")</f>
        <v>899</v>
      </c>
      <c r="B1072" s="31"/>
      <c r="C1072" s="50" t="s">
        <v>498</v>
      </c>
      <c r="D1072" s="46">
        <v>1</v>
      </c>
      <c r="E1072" s="28">
        <v>0</v>
      </c>
      <c r="F1072" s="32">
        <f t="shared" si="203"/>
        <v>1</v>
      </c>
      <c r="G1072" s="29" t="s">
        <v>66</v>
      </c>
      <c r="H1072" s="29"/>
      <c r="I1072" s="29"/>
      <c r="J1072" s="33"/>
      <c r="K1072" s="34">
        <f t="shared" si="204"/>
        <v>0</v>
      </c>
      <c r="L1072" s="35"/>
    </row>
    <row r="1073" spans="1:12" s="37" customFormat="1" ht="75" x14ac:dyDescent="0.25">
      <c r="A1073" s="30">
        <f>IF(F1073&lt;&gt;"",1+MAX($A$7:A1072),"")</f>
        <v>900</v>
      </c>
      <c r="B1073" s="31"/>
      <c r="C1073" s="50" t="s">
        <v>497</v>
      </c>
      <c r="D1073" s="46">
        <v>1</v>
      </c>
      <c r="E1073" s="28">
        <v>0</v>
      </c>
      <c r="F1073" s="32">
        <f t="shared" si="203"/>
        <v>1</v>
      </c>
      <c r="G1073" s="29" t="s">
        <v>66</v>
      </c>
      <c r="H1073" s="29"/>
      <c r="I1073" s="29"/>
      <c r="J1073" s="33"/>
      <c r="K1073" s="34">
        <f t="shared" si="204"/>
        <v>0</v>
      </c>
      <c r="L1073" s="35"/>
    </row>
    <row r="1074" spans="1:12" s="37" customFormat="1" ht="75" x14ac:dyDescent="0.25">
      <c r="A1074" s="30">
        <f>IF(F1074&lt;&gt;"",1+MAX($A$7:A1073),"")</f>
        <v>901</v>
      </c>
      <c r="B1074" s="31"/>
      <c r="C1074" s="50" t="s">
        <v>496</v>
      </c>
      <c r="D1074" s="46">
        <v>1</v>
      </c>
      <c r="E1074" s="28">
        <v>0</v>
      </c>
      <c r="F1074" s="32">
        <f t="shared" si="203"/>
        <v>1</v>
      </c>
      <c r="G1074" s="29" t="s">
        <v>66</v>
      </c>
      <c r="H1074" s="29"/>
      <c r="I1074" s="29"/>
      <c r="J1074" s="33"/>
      <c r="K1074" s="34">
        <f t="shared" si="204"/>
        <v>0</v>
      </c>
      <c r="L1074" s="35"/>
    </row>
    <row r="1075" spans="1:12" s="37" customFormat="1" ht="75" x14ac:dyDescent="0.25">
      <c r="A1075" s="30">
        <f>IF(F1075&lt;&gt;"",1+MAX($A$7:A1074),"")</f>
        <v>902</v>
      </c>
      <c r="B1075" s="31"/>
      <c r="C1075" s="50" t="s">
        <v>495</v>
      </c>
      <c r="D1075" s="46">
        <v>1</v>
      </c>
      <c r="E1075" s="28">
        <v>0</v>
      </c>
      <c r="F1075" s="32">
        <f t="shared" si="203"/>
        <v>1</v>
      </c>
      <c r="G1075" s="29" t="s">
        <v>66</v>
      </c>
      <c r="H1075" s="29"/>
      <c r="I1075" s="29"/>
      <c r="J1075" s="33"/>
      <c r="K1075" s="34">
        <f t="shared" si="204"/>
        <v>0</v>
      </c>
      <c r="L1075" s="35"/>
    </row>
    <row r="1076" spans="1:12" s="37" customFormat="1" x14ac:dyDescent="0.25">
      <c r="A1076" s="30">
        <f>IF(F1076&lt;&gt;"",1+MAX($A$7:A1075),"")</f>
        <v>903</v>
      </c>
      <c r="B1076" s="31"/>
      <c r="C1076" s="37" t="s">
        <v>494</v>
      </c>
      <c r="D1076" s="46">
        <v>1</v>
      </c>
      <c r="E1076" s="28">
        <v>0</v>
      </c>
      <c r="F1076" s="32">
        <f t="shared" si="203"/>
        <v>1</v>
      </c>
      <c r="G1076" s="29" t="s">
        <v>66</v>
      </c>
      <c r="H1076" s="29"/>
      <c r="I1076" s="29"/>
      <c r="J1076" s="33"/>
      <c r="K1076" s="34">
        <f t="shared" si="204"/>
        <v>0</v>
      </c>
      <c r="L1076" s="35"/>
    </row>
    <row r="1077" spans="1:12" s="37" customFormat="1" x14ac:dyDescent="0.25">
      <c r="A1077" s="30">
        <f>IF(F1077&lt;&gt;"",1+MAX($A$7:A1076),"")</f>
        <v>904</v>
      </c>
      <c r="B1077" s="31"/>
      <c r="C1077" s="37" t="s">
        <v>493</v>
      </c>
      <c r="D1077" s="46">
        <v>1</v>
      </c>
      <c r="E1077" s="28">
        <v>0</v>
      </c>
      <c r="F1077" s="32">
        <f t="shared" si="203"/>
        <v>1</v>
      </c>
      <c r="G1077" s="29" t="s">
        <v>66</v>
      </c>
      <c r="H1077" s="29"/>
      <c r="I1077" s="29"/>
      <c r="J1077" s="33"/>
      <c r="K1077" s="34">
        <f t="shared" si="204"/>
        <v>0</v>
      </c>
      <c r="L1077" s="35"/>
    </row>
    <row r="1078" spans="1:12" s="37" customFormat="1" x14ac:dyDescent="0.25">
      <c r="A1078" s="30">
        <f>IF(F1078&lt;&gt;"",1+MAX($A$7:A1077),"")</f>
        <v>905</v>
      </c>
      <c r="B1078" s="31"/>
      <c r="C1078" s="37" t="s">
        <v>492</v>
      </c>
      <c r="D1078" s="46">
        <v>3</v>
      </c>
      <c r="E1078" s="28">
        <v>0</v>
      </c>
      <c r="F1078" s="32">
        <f t="shared" si="203"/>
        <v>3</v>
      </c>
      <c r="G1078" s="29" t="s">
        <v>66</v>
      </c>
      <c r="H1078" s="29"/>
      <c r="I1078" s="29"/>
      <c r="J1078" s="33"/>
      <c r="K1078" s="34">
        <f t="shared" si="204"/>
        <v>0</v>
      </c>
      <c r="L1078" s="35"/>
    </row>
    <row r="1079" spans="1:12" s="37" customFormat="1" x14ac:dyDescent="0.25">
      <c r="A1079" s="30">
        <f>IF(F1079&lt;&gt;"",1+MAX($A$7:A1078),"")</f>
        <v>906</v>
      </c>
      <c r="B1079" s="31"/>
      <c r="C1079" s="37" t="s">
        <v>500</v>
      </c>
      <c r="D1079" s="46">
        <v>2</v>
      </c>
      <c r="E1079" s="28">
        <v>0</v>
      </c>
      <c r="F1079" s="32">
        <f t="shared" si="203"/>
        <v>2</v>
      </c>
      <c r="G1079" s="29" t="s">
        <v>66</v>
      </c>
      <c r="H1079" s="29"/>
      <c r="I1079" s="29"/>
      <c r="J1079" s="33"/>
      <c r="K1079" s="34">
        <f t="shared" si="204"/>
        <v>0</v>
      </c>
      <c r="L1079" s="35"/>
    </row>
    <row r="1080" spans="1:12" s="37" customFormat="1" x14ac:dyDescent="0.25">
      <c r="A1080" s="30">
        <f>IF(F1080&lt;&gt;"",1+MAX($A$7:A1079),"")</f>
        <v>907</v>
      </c>
      <c r="B1080" s="31"/>
      <c r="C1080" s="37" t="s">
        <v>501</v>
      </c>
      <c r="D1080" s="46">
        <v>2</v>
      </c>
      <c r="E1080" s="28">
        <v>0</v>
      </c>
      <c r="F1080" s="32">
        <f t="shared" si="203"/>
        <v>2</v>
      </c>
      <c r="G1080" s="29" t="s">
        <v>66</v>
      </c>
      <c r="H1080" s="29"/>
      <c r="I1080" s="29"/>
      <c r="J1080" s="33"/>
      <c r="K1080" s="34">
        <f t="shared" si="204"/>
        <v>0</v>
      </c>
      <c r="L1080" s="35"/>
    </row>
    <row r="1081" spans="1:12" s="37" customFormat="1" x14ac:dyDescent="0.25">
      <c r="A1081" s="30">
        <f>IF(F1081&lt;&gt;"",1+MAX($A$7:A1080),"")</f>
        <v>908</v>
      </c>
      <c r="B1081" s="31"/>
      <c r="C1081" s="37" t="s">
        <v>502</v>
      </c>
      <c r="D1081" s="46">
        <v>1</v>
      </c>
      <c r="E1081" s="28">
        <v>0</v>
      </c>
      <c r="F1081" s="32">
        <f t="shared" si="203"/>
        <v>1</v>
      </c>
      <c r="G1081" s="29" t="s">
        <v>66</v>
      </c>
      <c r="H1081" s="29"/>
      <c r="I1081" s="29"/>
      <c r="J1081" s="33"/>
      <c r="K1081" s="34">
        <f t="shared" si="204"/>
        <v>0</v>
      </c>
      <c r="L1081" s="35"/>
    </row>
    <row r="1082" spans="1:12" s="37" customFormat="1" x14ac:dyDescent="0.25">
      <c r="A1082" s="30">
        <f>IF(F1082&lt;&gt;"",1+MAX($A$7:A1081),"")</f>
        <v>909</v>
      </c>
      <c r="B1082" s="31"/>
      <c r="C1082" s="37" t="s">
        <v>503</v>
      </c>
      <c r="D1082" s="46">
        <v>35</v>
      </c>
      <c r="E1082" s="28">
        <v>0</v>
      </c>
      <c r="F1082" s="32">
        <f t="shared" si="203"/>
        <v>35</v>
      </c>
      <c r="G1082" s="29" t="s">
        <v>66</v>
      </c>
      <c r="H1082" s="29"/>
      <c r="I1082" s="29"/>
      <c r="J1082" s="33"/>
      <c r="K1082" s="34">
        <f t="shared" si="204"/>
        <v>0</v>
      </c>
      <c r="L1082" s="35"/>
    </row>
    <row r="1083" spans="1:12" s="37" customFormat="1" x14ac:dyDescent="0.25">
      <c r="A1083" s="30">
        <f>IF(F1083&lt;&gt;"",1+MAX($A$7:A1082),"")</f>
        <v>910</v>
      </c>
      <c r="B1083" s="31"/>
      <c r="C1083" s="37" t="s">
        <v>515</v>
      </c>
      <c r="D1083" s="46">
        <v>2</v>
      </c>
      <c r="E1083" s="28">
        <v>0</v>
      </c>
      <c r="F1083" s="32">
        <f t="shared" si="203"/>
        <v>2</v>
      </c>
      <c r="G1083" s="29" t="s">
        <v>66</v>
      </c>
      <c r="H1083" s="29"/>
      <c r="I1083" s="29"/>
      <c r="J1083" s="33"/>
      <c r="K1083" s="34">
        <f t="shared" si="204"/>
        <v>0</v>
      </c>
      <c r="L1083" s="35"/>
    </row>
    <row r="1084" spans="1:12" s="37" customFormat="1" x14ac:dyDescent="0.25">
      <c r="A1084" s="30">
        <f>IF(F1084&lt;&gt;"",1+MAX($A$7:A1083),"")</f>
        <v>911</v>
      </c>
      <c r="B1084" s="31"/>
      <c r="C1084" s="37" t="s">
        <v>504</v>
      </c>
      <c r="D1084" s="46">
        <v>4</v>
      </c>
      <c r="E1084" s="28">
        <v>0</v>
      </c>
      <c r="F1084" s="32">
        <f t="shared" si="203"/>
        <v>4</v>
      </c>
      <c r="G1084" s="29" t="s">
        <v>66</v>
      </c>
      <c r="H1084" s="29"/>
      <c r="I1084" s="29"/>
      <c r="J1084" s="33"/>
      <c r="K1084" s="34">
        <f t="shared" si="204"/>
        <v>0</v>
      </c>
      <c r="L1084" s="35"/>
    </row>
    <row r="1085" spans="1:12" s="37" customFormat="1" x14ac:dyDescent="0.25">
      <c r="A1085" s="30">
        <f>IF(F1085&lt;&gt;"",1+MAX($A$7:A1084),"")</f>
        <v>912</v>
      </c>
      <c r="B1085" s="31"/>
      <c r="C1085" s="37" t="s">
        <v>505</v>
      </c>
      <c r="D1085" s="46">
        <v>7</v>
      </c>
      <c r="E1085" s="28">
        <v>0</v>
      </c>
      <c r="F1085" s="32">
        <f t="shared" si="203"/>
        <v>7</v>
      </c>
      <c r="G1085" s="29" t="s">
        <v>66</v>
      </c>
      <c r="H1085" s="29"/>
      <c r="I1085" s="29"/>
      <c r="J1085" s="33"/>
      <c r="K1085" s="34">
        <f t="shared" si="204"/>
        <v>0</v>
      </c>
      <c r="L1085" s="35"/>
    </row>
    <row r="1086" spans="1:12" s="37" customFormat="1" x14ac:dyDescent="0.25">
      <c r="A1086" s="30">
        <f>IF(F1086&lt;&gt;"",1+MAX($A$7:A1085),"")</f>
        <v>913</v>
      </c>
      <c r="B1086" s="31"/>
      <c r="C1086" s="37" t="s">
        <v>508</v>
      </c>
      <c r="D1086" s="46">
        <v>24</v>
      </c>
      <c r="E1086" s="28">
        <v>0</v>
      </c>
      <c r="F1086" s="32">
        <f t="shared" si="203"/>
        <v>24</v>
      </c>
      <c r="G1086" s="29" t="s">
        <v>66</v>
      </c>
      <c r="H1086" s="29"/>
      <c r="I1086" s="29"/>
      <c r="J1086" s="33"/>
      <c r="K1086" s="34">
        <f t="shared" si="204"/>
        <v>0</v>
      </c>
      <c r="L1086" s="35"/>
    </row>
    <row r="1087" spans="1:12" s="37" customFormat="1" x14ac:dyDescent="0.25">
      <c r="A1087" s="30">
        <f>IF(F1087&lt;&gt;"",1+MAX($A$7:A1086),"")</f>
        <v>914</v>
      </c>
      <c r="B1087" s="31"/>
      <c r="C1087" s="37" t="s">
        <v>506</v>
      </c>
      <c r="D1087" s="46">
        <v>1</v>
      </c>
      <c r="E1087" s="28">
        <v>0</v>
      </c>
      <c r="F1087" s="32">
        <f t="shared" si="203"/>
        <v>1</v>
      </c>
      <c r="G1087" s="29" t="s">
        <v>66</v>
      </c>
      <c r="H1087" s="29"/>
      <c r="I1087" s="29"/>
      <c r="J1087" s="33"/>
      <c r="K1087" s="34">
        <f t="shared" si="204"/>
        <v>0</v>
      </c>
      <c r="L1087" s="35"/>
    </row>
    <row r="1088" spans="1:12" s="37" customFormat="1" x14ac:dyDescent="0.25">
      <c r="A1088" s="30">
        <f>IF(F1088&lt;&gt;"",1+MAX($A$7:A1087),"")</f>
        <v>915</v>
      </c>
      <c r="B1088" s="31"/>
      <c r="C1088" s="37" t="s">
        <v>507</v>
      </c>
      <c r="D1088" s="46">
        <v>5</v>
      </c>
      <c r="E1088" s="28">
        <v>0</v>
      </c>
      <c r="F1088" s="32">
        <f t="shared" si="203"/>
        <v>5</v>
      </c>
      <c r="G1088" s="29" t="s">
        <v>66</v>
      </c>
      <c r="H1088" s="29"/>
      <c r="I1088" s="29"/>
      <c r="J1088" s="33"/>
      <c r="K1088" s="34">
        <f t="shared" si="204"/>
        <v>0</v>
      </c>
      <c r="L1088" s="35"/>
    </row>
    <row r="1089" spans="1:12" s="37" customFormat="1" x14ac:dyDescent="0.25">
      <c r="A1089" s="30">
        <f>IF(F1089&lt;&gt;"",1+MAX($A$7:A1088),"")</f>
        <v>916</v>
      </c>
      <c r="B1089" s="31"/>
      <c r="C1089" s="37" t="s">
        <v>488</v>
      </c>
      <c r="D1089" s="46">
        <v>615</v>
      </c>
      <c r="E1089" s="28">
        <v>0.1</v>
      </c>
      <c r="F1089" s="32">
        <f t="shared" si="203"/>
        <v>676.5</v>
      </c>
      <c r="G1089" s="29" t="s">
        <v>65</v>
      </c>
      <c r="H1089" s="29"/>
      <c r="I1089" s="29"/>
      <c r="J1089" s="33"/>
      <c r="K1089" s="34">
        <f t="shared" si="204"/>
        <v>0</v>
      </c>
      <c r="L1089" s="35"/>
    </row>
    <row r="1090" spans="1:12" s="37" customFormat="1" x14ac:dyDescent="0.25">
      <c r="A1090" s="30" t="str">
        <f>IF(F1090&lt;&gt;"",1+MAX($A$7:A1089),"")</f>
        <v/>
      </c>
      <c r="B1090" s="31"/>
      <c r="C1090" s="43"/>
      <c r="D1090" s="44"/>
      <c r="E1090" s="28"/>
      <c r="F1090" s="32"/>
      <c r="G1090" s="29"/>
      <c r="H1090" s="29"/>
      <c r="I1090" s="29"/>
      <c r="J1090" s="33"/>
      <c r="K1090" s="34"/>
      <c r="L1090" s="35"/>
    </row>
    <row r="1091" spans="1:12" s="37" customFormat="1" x14ac:dyDescent="0.25">
      <c r="A1091" s="30" t="str">
        <f>IF(F1091&lt;&gt;"",1+MAX($A$7:A1090),"")</f>
        <v/>
      </c>
      <c r="B1091" s="31"/>
      <c r="C1091" s="45" t="s">
        <v>516</v>
      </c>
      <c r="D1091" s="97"/>
      <c r="E1091" s="28"/>
      <c r="F1091" s="32"/>
      <c r="G1091" s="29"/>
      <c r="H1091" s="29"/>
      <c r="I1091" s="29"/>
      <c r="J1091" s="33"/>
      <c r="K1091" s="34"/>
      <c r="L1091" s="35"/>
    </row>
    <row r="1092" spans="1:12" s="37" customFormat="1" x14ac:dyDescent="0.25">
      <c r="A1092" s="30">
        <f>IF(F1092&lt;&gt;"",1+MAX($A$7:A1091),"")</f>
        <v>917</v>
      </c>
      <c r="B1092" s="31"/>
      <c r="C1092" s="37" t="s">
        <v>523</v>
      </c>
      <c r="D1092" s="46">
        <v>8</v>
      </c>
      <c r="E1092" s="28">
        <v>0</v>
      </c>
      <c r="F1092" s="32">
        <f t="shared" ref="F1092:F1108" si="205">D1092*(1+E1092)</f>
        <v>8</v>
      </c>
      <c r="G1092" s="29" t="s">
        <v>66</v>
      </c>
      <c r="H1092" s="29"/>
      <c r="I1092" s="29"/>
      <c r="J1092" s="33"/>
      <c r="K1092" s="34">
        <f t="shared" ref="K1092:K1108" si="206">J1092*F1092</f>
        <v>0</v>
      </c>
      <c r="L1092" s="35"/>
    </row>
    <row r="1093" spans="1:12" s="37" customFormat="1" x14ac:dyDescent="0.25">
      <c r="A1093" s="30">
        <f>IF(F1093&lt;&gt;"",1+MAX($A$7:A1092),"")</f>
        <v>918</v>
      </c>
      <c r="B1093" s="31"/>
      <c r="C1093" s="37" t="s">
        <v>517</v>
      </c>
      <c r="D1093" s="46">
        <v>17</v>
      </c>
      <c r="E1093" s="28">
        <v>0</v>
      </c>
      <c r="F1093" s="32">
        <f t="shared" si="205"/>
        <v>17</v>
      </c>
      <c r="G1093" s="29" t="s">
        <v>66</v>
      </c>
      <c r="H1093" s="29"/>
      <c r="I1093" s="29"/>
      <c r="J1093" s="33"/>
      <c r="K1093" s="34">
        <f t="shared" si="206"/>
        <v>0</v>
      </c>
      <c r="L1093" s="35"/>
    </row>
    <row r="1094" spans="1:12" s="37" customFormat="1" x14ac:dyDescent="0.25">
      <c r="A1094" s="30">
        <f>IF(F1094&lt;&gt;"",1+MAX($A$7:A1093),"")</f>
        <v>919</v>
      </c>
      <c r="B1094" s="31"/>
      <c r="C1094" s="37" t="s">
        <v>518</v>
      </c>
      <c r="D1094" s="46">
        <v>9</v>
      </c>
      <c r="E1094" s="28">
        <v>0</v>
      </c>
      <c r="F1094" s="32">
        <f t="shared" si="205"/>
        <v>9</v>
      </c>
      <c r="G1094" s="29" t="s">
        <v>66</v>
      </c>
      <c r="H1094" s="29"/>
      <c r="I1094" s="29"/>
      <c r="J1094" s="33"/>
      <c r="K1094" s="34">
        <f t="shared" si="206"/>
        <v>0</v>
      </c>
      <c r="L1094" s="35"/>
    </row>
    <row r="1095" spans="1:12" s="37" customFormat="1" x14ac:dyDescent="0.25">
      <c r="A1095" s="30">
        <f>IF(F1095&lt;&gt;"",1+MAX($A$7:A1094),"")</f>
        <v>920</v>
      </c>
      <c r="B1095" s="31"/>
      <c r="C1095" s="37" t="s">
        <v>524</v>
      </c>
      <c r="D1095" s="46">
        <v>4</v>
      </c>
      <c r="E1095" s="28">
        <v>0</v>
      </c>
      <c r="F1095" s="32">
        <f t="shared" si="205"/>
        <v>4</v>
      </c>
      <c r="G1095" s="29" t="s">
        <v>66</v>
      </c>
      <c r="H1095" s="29"/>
      <c r="I1095" s="29"/>
      <c r="J1095" s="33"/>
      <c r="K1095" s="34">
        <f t="shared" si="206"/>
        <v>0</v>
      </c>
      <c r="L1095" s="35"/>
    </row>
    <row r="1096" spans="1:12" s="37" customFormat="1" x14ac:dyDescent="0.25">
      <c r="A1096" s="30">
        <f>IF(F1096&lt;&gt;"",1+MAX($A$7:A1095),"")</f>
        <v>921</v>
      </c>
      <c r="B1096" s="31"/>
      <c r="C1096" s="37" t="s">
        <v>525</v>
      </c>
      <c r="D1096" s="46">
        <v>2</v>
      </c>
      <c r="E1096" s="28">
        <v>0</v>
      </c>
      <c r="F1096" s="32">
        <f t="shared" si="205"/>
        <v>2</v>
      </c>
      <c r="G1096" s="29" t="s">
        <v>66</v>
      </c>
      <c r="H1096" s="29"/>
      <c r="I1096" s="29"/>
      <c r="J1096" s="33"/>
      <c r="K1096" s="34">
        <f t="shared" si="206"/>
        <v>0</v>
      </c>
      <c r="L1096" s="35"/>
    </row>
    <row r="1097" spans="1:12" s="37" customFormat="1" x14ac:dyDescent="0.25">
      <c r="A1097" s="30">
        <f>IF(F1097&lt;&gt;"",1+MAX($A$7:A1096),"")</f>
        <v>922</v>
      </c>
      <c r="B1097" s="31"/>
      <c r="C1097" s="37" t="s">
        <v>522</v>
      </c>
      <c r="D1097" s="46">
        <v>2</v>
      </c>
      <c r="E1097" s="28">
        <v>0</v>
      </c>
      <c r="F1097" s="32">
        <f t="shared" si="205"/>
        <v>2</v>
      </c>
      <c r="G1097" s="29" t="s">
        <v>66</v>
      </c>
      <c r="H1097" s="29"/>
      <c r="I1097" s="29"/>
      <c r="J1097" s="33"/>
      <c r="K1097" s="34">
        <f t="shared" si="206"/>
        <v>0</v>
      </c>
      <c r="L1097" s="35"/>
    </row>
    <row r="1098" spans="1:12" s="37" customFormat="1" x14ac:dyDescent="0.25">
      <c r="A1098" s="30">
        <f>IF(F1098&lt;&gt;"",1+MAX($A$7:A1097),"")</f>
        <v>923</v>
      </c>
      <c r="B1098" s="31"/>
      <c r="C1098" s="37" t="s">
        <v>526</v>
      </c>
      <c r="D1098" s="46">
        <v>18</v>
      </c>
      <c r="E1098" s="28">
        <v>0</v>
      </c>
      <c r="F1098" s="32">
        <f t="shared" si="205"/>
        <v>18</v>
      </c>
      <c r="G1098" s="29" t="s">
        <v>66</v>
      </c>
      <c r="H1098" s="29"/>
      <c r="I1098" s="29"/>
      <c r="J1098" s="33"/>
      <c r="K1098" s="34">
        <f t="shared" si="206"/>
        <v>0</v>
      </c>
      <c r="L1098" s="35"/>
    </row>
    <row r="1099" spans="1:12" s="37" customFormat="1" x14ac:dyDescent="0.25">
      <c r="A1099" s="30">
        <f>IF(F1099&lt;&gt;"",1+MAX($A$7:A1098),"")</f>
        <v>924</v>
      </c>
      <c r="B1099" s="31"/>
      <c r="C1099" s="37" t="s">
        <v>517</v>
      </c>
      <c r="D1099" s="46">
        <v>15</v>
      </c>
      <c r="E1099" s="28">
        <v>0</v>
      </c>
      <c r="F1099" s="32">
        <f t="shared" si="205"/>
        <v>15</v>
      </c>
      <c r="G1099" s="29" t="s">
        <v>66</v>
      </c>
      <c r="H1099" s="29"/>
      <c r="I1099" s="29"/>
      <c r="J1099" s="33"/>
      <c r="K1099" s="34">
        <f t="shared" si="206"/>
        <v>0</v>
      </c>
      <c r="L1099" s="35"/>
    </row>
    <row r="1100" spans="1:12" s="37" customFormat="1" x14ac:dyDescent="0.25">
      <c r="A1100" s="30">
        <f>IF(F1100&lt;&gt;"",1+MAX($A$7:A1099),"")</f>
        <v>925</v>
      </c>
      <c r="B1100" s="31"/>
      <c r="C1100" s="37" t="s">
        <v>520</v>
      </c>
      <c r="D1100" s="46">
        <v>15</v>
      </c>
      <c r="E1100" s="28">
        <v>0</v>
      </c>
      <c r="F1100" s="32">
        <f t="shared" si="205"/>
        <v>15</v>
      </c>
      <c r="G1100" s="29" t="s">
        <v>66</v>
      </c>
      <c r="H1100" s="29"/>
      <c r="I1100" s="29"/>
      <c r="J1100" s="33"/>
      <c r="K1100" s="34">
        <f t="shared" si="206"/>
        <v>0</v>
      </c>
      <c r="L1100" s="35"/>
    </row>
    <row r="1101" spans="1:12" s="37" customFormat="1" x14ac:dyDescent="0.25">
      <c r="A1101" s="30">
        <f>IF(F1101&lt;&gt;"",1+MAX($A$7:A1100),"")</f>
        <v>926</v>
      </c>
      <c r="B1101" s="31"/>
      <c r="C1101" s="37" t="s">
        <v>521</v>
      </c>
      <c r="D1101" s="46">
        <v>1</v>
      </c>
      <c r="E1101" s="28">
        <v>0</v>
      </c>
      <c r="F1101" s="32">
        <f t="shared" si="205"/>
        <v>1</v>
      </c>
      <c r="G1101" s="29" t="s">
        <v>66</v>
      </c>
      <c r="H1101" s="29"/>
      <c r="I1101" s="29"/>
      <c r="J1101" s="33"/>
      <c r="K1101" s="34">
        <f t="shared" si="206"/>
        <v>0</v>
      </c>
      <c r="L1101" s="35"/>
    </row>
    <row r="1102" spans="1:12" s="37" customFormat="1" ht="30" x14ac:dyDescent="0.25">
      <c r="A1102" s="30">
        <f>IF(F1102&lt;&gt;"",1+MAX($A$7:A1101),"")</f>
        <v>927</v>
      </c>
      <c r="B1102" s="31"/>
      <c r="C1102" s="50" t="s">
        <v>527</v>
      </c>
      <c r="D1102" s="46">
        <v>2</v>
      </c>
      <c r="E1102" s="28">
        <v>0</v>
      </c>
      <c r="F1102" s="32">
        <f t="shared" si="205"/>
        <v>2</v>
      </c>
      <c r="G1102" s="29" t="s">
        <v>66</v>
      </c>
      <c r="H1102" s="29"/>
      <c r="I1102" s="29"/>
      <c r="J1102" s="33"/>
      <c r="K1102" s="34">
        <f t="shared" si="206"/>
        <v>0</v>
      </c>
      <c r="L1102" s="35"/>
    </row>
    <row r="1103" spans="1:12" s="37" customFormat="1" x14ac:dyDescent="0.25">
      <c r="A1103" s="30">
        <f>IF(F1103&lt;&gt;"",1+MAX($A$7:A1102),"")</f>
        <v>928</v>
      </c>
      <c r="B1103" s="31"/>
      <c r="C1103" s="37" t="s">
        <v>520</v>
      </c>
      <c r="D1103" s="46">
        <v>1</v>
      </c>
      <c r="E1103" s="28">
        <v>0</v>
      </c>
      <c r="F1103" s="32">
        <f t="shared" si="205"/>
        <v>1</v>
      </c>
      <c r="G1103" s="29" t="s">
        <v>66</v>
      </c>
      <c r="H1103" s="29"/>
      <c r="I1103" s="29"/>
      <c r="J1103" s="33"/>
      <c r="K1103" s="34">
        <f t="shared" si="206"/>
        <v>0</v>
      </c>
      <c r="L1103" s="35"/>
    </row>
    <row r="1104" spans="1:12" s="37" customFormat="1" x14ac:dyDescent="0.25">
      <c r="A1104" s="30">
        <f>IF(F1104&lt;&gt;"",1+MAX($A$7:A1103),"")</f>
        <v>929</v>
      </c>
      <c r="B1104" s="31"/>
      <c r="C1104" s="37" t="s">
        <v>528</v>
      </c>
      <c r="D1104" s="46">
        <v>2</v>
      </c>
      <c r="E1104" s="28">
        <v>0</v>
      </c>
      <c r="F1104" s="32">
        <f t="shared" si="205"/>
        <v>2</v>
      </c>
      <c r="G1104" s="29" t="s">
        <v>66</v>
      </c>
      <c r="H1104" s="29"/>
      <c r="I1104" s="29"/>
      <c r="J1104" s="33"/>
      <c r="K1104" s="34">
        <f t="shared" si="206"/>
        <v>0</v>
      </c>
      <c r="L1104" s="35"/>
    </row>
    <row r="1105" spans="1:12" s="37" customFormat="1" x14ac:dyDescent="0.25">
      <c r="A1105" s="30">
        <f>IF(F1105&lt;&gt;"",1+MAX($A$7:A1104),"")</f>
        <v>930</v>
      </c>
      <c r="B1105" s="31"/>
      <c r="C1105" s="37" t="s">
        <v>519</v>
      </c>
      <c r="D1105" s="46">
        <v>1</v>
      </c>
      <c r="E1105" s="28">
        <v>0</v>
      </c>
      <c r="F1105" s="32">
        <f t="shared" si="205"/>
        <v>1</v>
      </c>
      <c r="G1105" s="29" t="s">
        <v>66</v>
      </c>
      <c r="H1105" s="29"/>
      <c r="I1105" s="29"/>
      <c r="J1105" s="33"/>
      <c r="K1105" s="34">
        <f t="shared" si="206"/>
        <v>0</v>
      </c>
      <c r="L1105" s="35"/>
    </row>
    <row r="1106" spans="1:12" s="37" customFormat="1" x14ac:dyDescent="0.25">
      <c r="A1106" s="30">
        <f>IF(F1106&lt;&gt;"",1+MAX($A$7:A1105),"")</f>
        <v>931</v>
      </c>
      <c r="B1106" s="31"/>
      <c r="C1106" s="37" t="s">
        <v>522</v>
      </c>
      <c r="D1106" s="46">
        <v>8</v>
      </c>
      <c r="E1106" s="28">
        <v>0</v>
      </c>
      <c r="F1106" s="32">
        <f t="shared" si="205"/>
        <v>8</v>
      </c>
      <c r="G1106" s="29" t="s">
        <v>66</v>
      </c>
      <c r="H1106" s="29"/>
      <c r="I1106" s="29"/>
      <c r="J1106" s="33"/>
      <c r="K1106" s="34">
        <f t="shared" si="206"/>
        <v>0</v>
      </c>
      <c r="L1106" s="35"/>
    </row>
    <row r="1107" spans="1:12" s="37" customFormat="1" x14ac:dyDescent="0.25">
      <c r="A1107" s="30">
        <f>IF(F1107&lt;&gt;"",1+MAX($A$7:A1106),"")</f>
        <v>932</v>
      </c>
      <c r="B1107" s="31"/>
      <c r="C1107" s="37" t="s">
        <v>520</v>
      </c>
      <c r="D1107" s="46">
        <v>5</v>
      </c>
      <c r="E1107" s="28">
        <v>0</v>
      </c>
      <c r="F1107" s="32">
        <f t="shared" si="205"/>
        <v>5</v>
      </c>
      <c r="G1107" s="29" t="s">
        <v>66</v>
      </c>
      <c r="H1107" s="29"/>
      <c r="I1107" s="29"/>
      <c r="J1107" s="33"/>
      <c r="K1107" s="34">
        <f t="shared" si="206"/>
        <v>0</v>
      </c>
      <c r="L1107" s="35"/>
    </row>
    <row r="1108" spans="1:12" s="37" customFormat="1" x14ac:dyDescent="0.25">
      <c r="A1108" s="30">
        <f>IF(F1108&lt;&gt;"",1+MAX($A$7:A1107),"")</f>
        <v>933</v>
      </c>
      <c r="B1108" s="31"/>
      <c r="C1108" s="37" t="s">
        <v>521</v>
      </c>
      <c r="D1108" s="46">
        <v>2</v>
      </c>
      <c r="E1108" s="28">
        <v>0</v>
      </c>
      <c r="F1108" s="32">
        <f t="shared" si="205"/>
        <v>2</v>
      </c>
      <c r="G1108" s="29" t="s">
        <v>66</v>
      </c>
      <c r="H1108" s="29"/>
      <c r="I1108" s="29"/>
      <c r="J1108" s="33"/>
      <c r="K1108" s="34">
        <f t="shared" si="206"/>
        <v>0</v>
      </c>
      <c r="L1108" s="35"/>
    </row>
    <row r="1109" spans="1:12" s="37" customFormat="1" x14ac:dyDescent="0.25">
      <c r="A1109" s="30" t="str">
        <f>IF(F1109&lt;&gt;"",1+MAX($A$7:A1108),"")</f>
        <v/>
      </c>
      <c r="B1109" s="31"/>
      <c r="C1109" s="43"/>
      <c r="D1109" s="44"/>
      <c r="E1109" s="28"/>
      <c r="F1109" s="32"/>
      <c r="G1109" s="29"/>
      <c r="H1109" s="29"/>
      <c r="I1109" s="29"/>
      <c r="J1109" s="33"/>
      <c r="K1109" s="34"/>
      <c r="L1109" s="35"/>
    </row>
    <row r="1110" spans="1:12" s="37" customFormat="1" x14ac:dyDescent="0.25">
      <c r="A1110" s="30" t="str">
        <f>IF(F1110&lt;&gt;"",1+MAX($A$7:A1109),"")</f>
        <v/>
      </c>
      <c r="B1110" s="31"/>
      <c r="C1110" s="45" t="s">
        <v>69</v>
      </c>
      <c r="D1110" s="46"/>
      <c r="E1110" s="28"/>
      <c r="F1110" s="32"/>
      <c r="G1110" s="29"/>
      <c r="H1110" s="29"/>
      <c r="I1110" s="29"/>
      <c r="J1110" s="33"/>
      <c r="K1110" s="34"/>
      <c r="L1110" s="35"/>
    </row>
    <row r="1111" spans="1:12" s="37" customFormat="1" x14ac:dyDescent="0.25">
      <c r="A1111" s="30">
        <f>IF(F1111&lt;&gt;"",1+MAX($A$7:A1110),"")</f>
        <v>934</v>
      </c>
      <c r="B1111" s="31"/>
      <c r="C1111" s="37" t="s">
        <v>1077</v>
      </c>
      <c r="D1111" s="46">
        <v>39</v>
      </c>
      <c r="E1111" s="28">
        <v>0</v>
      </c>
      <c r="F1111" s="32">
        <f t="shared" ref="F1111:F1115" si="207">D1111*(1+E1111)</f>
        <v>39</v>
      </c>
      <c r="G1111" s="29" t="s">
        <v>66</v>
      </c>
      <c r="H1111" s="29"/>
      <c r="I1111" s="29"/>
      <c r="J1111" s="33"/>
      <c r="K1111" s="34">
        <f t="shared" ref="K1111:K1115" si="208">J1111*F1111</f>
        <v>0</v>
      </c>
      <c r="L1111" s="35"/>
    </row>
    <row r="1112" spans="1:12" s="37" customFormat="1" x14ac:dyDescent="0.25">
      <c r="A1112" s="30">
        <f>IF(F1112&lt;&gt;"",1+MAX($A$7:A1111),"")</f>
        <v>935</v>
      </c>
      <c r="B1112" s="31"/>
      <c r="C1112" s="37" t="s">
        <v>1113</v>
      </c>
      <c r="D1112" s="46">
        <v>182</v>
      </c>
      <c r="E1112" s="28">
        <v>0</v>
      </c>
      <c r="F1112" s="32">
        <f t="shared" si="207"/>
        <v>182</v>
      </c>
      <c r="G1112" s="29" t="s">
        <v>66</v>
      </c>
      <c r="H1112" s="29"/>
      <c r="I1112" s="29"/>
      <c r="J1112" s="33"/>
      <c r="K1112" s="34">
        <f t="shared" si="208"/>
        <v>0</v>
      </c>
      <c r="L1112" s="35"/>
    </row>
    <row r="1113" spans="1:12" s="37" customFormat="1" x14ac:dyDescent="0.25">
      <c r="A1113" s="30">
        <f>IF(F1113&lt;&gt;"",1+MAX($A$7:A1112),"")</f>
        <v>936</v>
      </c>
      <c r="B1113" s="31"/>
      <c r="C1113" s="37" t="s">
        <v>1083</v>
      </c>
      <c r="D1113" s="46">
        <v>70</v>
      </c>
      <c r="E1113" s="28">
        <v>0</v>
      </c>
      <c r="F1113" s="32">
        <f t="shared" si="207"/>
        <v>70</v>
      </c>
      <c r="G1113" s="29" t="s">
        <v>66</v>
      </c>
      <c r="H1113" s="29"/>
      <c r="I1113" s="29"/>
      <c r="J1113" s="33"/>
      <c r="K1113" s="34">
        <f t="shared" si="208"/>
        <v>0</v>
      </c>
      <c r="L1113" s="35"/>
    </row>
    <row r="1114" spans="1:12" s="37" customFormat="1" x14ac:dyDescent="0.25">
      <c r="A1114" s="30">
        <f>IF(F1114&lt;&gt;"",1+MAX($A$7:A1113),"")</f>
        <v>937</v>
      </c>
      <c r="B1114" s="31"/>
      <c r="C1114" s="37" t="s">
        <v>1056</v>
      </c>
      <c r="D1114" s="46">
        <v>21</v>
      </c>
      <c r="E1114" s="28">
        <v>0</v>
      </c>
      <c r="F1114" s="32">
        <f t="shared" si="207"/>
        <v>21</v>
      </c>
      <c r="G1114" s="29" t="s">
        <v>66</v>
      </c>
      <c r="H1114" s="29"/>
      <c r="I1114" s="29"/>
      <c r="J1114" s="33"/>
      <c r="K1114" s="34">
        <f t="shared" si="208"/>
        <v>0</v>
      </c>
      <c r="L1114" s="35"/>
    </row>
    <row r="1115" spans="1:12" s="37" customFormat="1" x14ac:dyDescent="0.25">
      <c r="A1115" s="30">
        <f>IF(F1115&lt;&gt;"",1+MAX($A$7:A1114),"")</f>
        <v>938</v>
      </c>
      <c r="B1115" s="31"/>
      <c r="C1115" s="37" t="s">
        <v>1005</v>
      </c>
      <c r="D1115" s="46">
        <v>4</v>
      </c>
      <c r="E1115" s="28">
        <v>0</v>
      </c>
      <c r="F1115" s="32">
        <f t="shared" si="207"/>
        <v>4</v>
      </c>
      <c r="G1115" s="29" t="s">
        <v>66</v>
      </c>
      <c r="H1115" s="29"/>
      <c r="I1115" s="29"/>
      <c r="J1115" s="33"/>
      <c r="K1115" s="34">
        <f t="shared" si="208"/>
        <v>0</v>
      </c>
      <c r="L1115" s="35"/>
    </row>
    <row r="1116" spans="1:12" s="37" customFormat="1" x14ac:dyDescent="0.25">
      <c r="A1116" s="30" t="str">
        <f>IF(F1116&lt;&gt;"",1+MAX($A$7:A1115),"")</f>
        <v/>
      </c>
      <c r="B1116" s="31"/>
      <c r="C1116" s="45"/>
      <c r="D1116" s="46"/>
      <c r="E1116" s="28"/>
      <c r="F1116" s="32"/>
      <c r="G1116" s="29"/>
      <c r="H1116" s="29"/>
      <c r="I1116" s="29"/>
      <c r="J1116" s="33"/>
      <c r="K1116" s="34"/>
      <c r="L1116" s="35"/>
    </row>
    <row r="1117" spans="1:12" s="37" customFormat="1" x14ac:dyDescent="0.25">
      <c r="A1117" s="30">
        <f>IF(F1117&lt;&gt;"",1+MAX($A$7:A1116),"")</f>
        <v>939</v>
      </c>
      <c r="B1117" s="31"/>
      <c r="C1117" s="45" t="s">
        <v>72</v>
      </c>
      <c r="D1117" s="46">
        <f>75+18</f>
        <v>93</v>
      </c>
      <c r="E1117" s="28">
        <v>0</v>
      </c>
      <c r="F1117" s="32">
        <f t="shared" ref="F1117" si="209">D1117*(1+E1117)</f>
        <v>93</v>
      </c>
      <c r="G1117" s="29" t="s">
        <v>66</v>
      </c>
      <c r="H1117" s="29"/>
      <c r="I1117" s="29"/>
      <c r="J1117" s="33"/>
      <c r="K1117" s="34">
        <f t="shared" ref="K1117" si="210">J1117*F1117</f>
        <v>0</v>
      </c>
      <c r="L1117" s="35"/>
    </row>
    <row r="1118" spans="1:12" s="37" customFormat="1" x14ac:dyDescent="0.25">
      <c r="A1118" s="30" t="str">
        <f>IF(F1118&lt;&gt;"",1+MAX($A$7:A1117),"")</f>
        <v/>
      </c>
      <c r="B1118" s="31"/>
      <c r="C1118" s="45"/>
      <c r="D1118" s="46"/>
      <c r="E1118" s="28"/>
      <c r="F1118" s="32"/>
      <c r="G1118" s="29"/>
      <c r="H1118" s="29"/>
      <c r="I1118" s="29"/>
      <c r="J1118" s="33"/>
      <c r="K1118" s="34"/>
      <c r="L1118" s="35"/>
    </row>
    <row r="1119" spans="1:12" s="37" customFormat="1" x14ac:dyDescent="0.25">
      <c r="A1119" s="30">
        <f>IF(F1119&lt;&gt;"",1+MAX($A$7:A1118),"")</f>
        <v>940</v>
      </c>
      <c r="B1119" s="31"/>
      <c r="C1119" s="45" t="s">
        <v>70</v>
      </c>
      <c r="D1119" s="46">
        <v>3</v>
      </c>
      <c r="E1119" s="28">
        <v>0</v>
      </c>
      <c r="F1119" s="32">
        <f t="shared" ref="F1119" si="211">D1119*(1+E1119)</f>
        <v>3</v>
      </c>
      <c r="G1119" s="29" t="s">
        <v>66</v>
      </c>
      <c r="H1119" s="29"/>
      <c r="I1119" s="29"/>
      <c r="J1119" s="33"/>
      <c r="K1119" s="34">
        <f t="shared" ref="K1119" si="212">J1119*F1119</f>
        <v>0</v>
      </c>
      <c r="L1119" s="35"/>
    </row>
    <row r="1120" spans="1:12" s="37" customFormat="1" x14ac:dyDescent="0.25">
      <c r="A1120" s="30" t="str">
        <f>IF(F1120&lt;&gt;"",1+MAX($A$7:A1119),"")</f>
        <v/>
      </c>
      <c r="B1120" s="31"/>
      <c r="C1120" s="50"/>
      <c r="D1120" s="46"/>
      <c r="E1120" s="28"/>
      <c r="F1120" s="32"/>
      <c r="G1120" s="29"/>
      <c r="H1120" s="29"/>
      <c r="I1120" s="29"/>
      <c r="J1120" s="33"/>
      <c r="K1120" s="34"/>
      <c r="L1120" s="35"/>
    </row>
    <row r="1121" spans="1:12" s="37" customFormat="1" x14ac:dyDescent="0.25">
      <c r="A1121" s="30" t="str">
        <f>IF(F1121&lt;&gt;"",1+MAX($A$7:A1120),"")</f>
        <v/>
      </c>
      <c r="B1121" s="31"/>
      <c r="C1121" s="45" t="s">
        <v>215</v>
      </c>
      <c r="D1121" s="46"/>
      <c r="E1121" s="28"/>
      <c r="F1121" s="32"/>
      <c r="G1121" s="29"/>
      <c r="H1121" s="29"/>
      <c r="I1121" s="29"/>
      <c r="J1121" s="33"/>
      <c r="K1121" s="34"/>
      <c r="L1121" s="35"/>
    </row>
    <row r="1122" spans="1:12" s="37" customFormat="1" x14ac:dyDescent="0.25">
      <c r="A1122" s="30">
        <f>IF(F1122&lt;&gt;"",1+MAX($A$7:A1121),"")</f>
        <v>941</v>
      </c>
      <c r="B1122" s="31"/>
      <c r="C1122" s="50" t="s">
        <v>216</v>
      </c>
      <c r="D1122" s="46">
        <v>27</v>
      </c>
      <c r="E1122" s="28">
        <v>0</v>
      </c>
      <c r="F1122" s="32">
        <f t="shared" ref="F1122:F1130" si="213">D1122*(1+E1122)</f>
        <v>27</v>
      </c>
      <c r="G1122" s="29" t="s">
        <v>66</v>
      </c>
      <c r="H1122" s="29"/>
      <c r="I1122" s="29"/>
      <c r="J1122" s="33"/>
      <c r="K1122" s="34">
        <f t="shared" ref="K1122:K1130" si="214">J1122*F1122</f>
        <v>0</v>
      </c>
      <c r="L1122" s="35"/>
    </row>
    <row r="1123" spans="1:12" s="37" customFormat="1" x14ac:dyDescent="0.25">
      <c r="A1123" s="30">
        <f>IF(F1123&lt;&gt;"",1+MAX($A$7:A1122),"")</f>
        <v>942</v>
      </c>
      <c r="B1123" s="31"/>
      <c r="C1123" s="50" t="s">
        <v>220</v>
      </c>
      <c r="D1123" s="46">
        <v>12</v>
      </c>
      <c r="E1123" s="28">
        <v>0</v>
      </c>
      <c r="F1123" s="32">
        <f t="shared" si="213"/>
        <v>12</v>
      </c>
      <c r="G1123" s="29" t="s">
        <v>66</v>
      </c>
      <c r="H1123" s="29"/>
      <c r="I1123" s="29"/>
      <c r="J1123" s="33"/>
      <c r="K1123" s="34">
        <f t="shared" si="214"/>
        <v>0</v>
      </c>
      <c r="L1123" s="35"/>
    </row>
    <row r="1124" spans="1:12" s="37" customFormat="1" x14ac:dyDescent="0.25">
      <c r="A1124" s="30">
        <f>IF(F1124&lt;&gt;"",1+MAX($A$7:A1123),"")</f>
        <v>943</v>
      </c>
      <c r="B1124" s="31"/>
      <c r="C1124" s="50" t="s">
        <v>221</v>
      </c>
      <c r="D1124" s="46">
        <v>32</v>
      </c>
      <c r="E1124" s="28">
        <v>0</v>
      </c>
      <c r="F1124" s="32">
        <f t="shared" si="213"/>
        <v>32</v>
      </c>
      <c r="G1124" s="29" t="s">
        <v>66</v>
      </c>
      <c r="H1124" s="29"/>
      <c r="I1124" s="29"/>
      <c r="J1124" s="33"/>
      <c r="K1124" s="34">
        <f t="shared" si="214"/>
        <v>0</v>
      </c>
      <c r="L1124" s="35"/>
    </row>
    <row r="1125" spans="1:12" s="37" customFormat="1" x14ac:dyDescent="0.25">
      <c r="A1125" s="30">
        <f>IF(F1125&lt;&gt;"",1+MAX($A$7:A1124),"")</f>
        <v>944</v>
      </c>
      <c r="B1125" s="31"/>
      <c r="C1125" s="50" t="s">
        <v>222</v>
      </c>
      <c r="D1125" s="46">
        <v>10</v>
      </c>
      <c r="E1125" s="28">
        <v>0</v>
      </c>
      <c r="F1125" s="32">
        <f t="shared" si="213"/>
        <v>10</v>
      </c>
      <c r="G1125" s="29" t="s">
        <v>66</v>
      </c>
      <c r="H1125" s="29"/>
      <c r="I1125" s="29"/>
      <c r="J1125" s="33"/>
      <c r="K1125" s="34">
        <f t="shared" si="214"/>
        <v>0</v>
      </c>
      <c r="L1125" s="35"/>
    </row>
    <row r="1126" spans="1:12" s="37" customFormat="1" x14ac:dyDescent="0.25">
      <c r="A1126" s="30">
        <f>IF(F1126&lt;&gt;"",1+MAX($A$7:A1125),"")</f>
        <v>945</v>
      </c>
      <c r="B1126" s="31"/>
      <c r="C1126" s="50" t="s">
        <v>238</v>
      </c>
      <c r="D1126" s="46">
        <v>12</v>
      </c>
      <c r="E1126" s="28">
        <v>0</v>
      </c>
      <c r="F1126" s="32">
        <f t="shared" si="213"/>
        <v>12</v>
      </c>
      <c r="G1126" s="29" t="s">
        <v>66</v>
      </c>
      <c r="H1126" s="29"/>
      <c r="I1126" s="29"/>
      <c r="J1126" s="33"/>
      <c r="K1126" s="34">
        <f t="shared" si="214"/>
        <v>0</v>
      </c>
      <c r="L1126" s="35"/>
    </row>
    <row r="1127" spans="1:12" s="37" customFormat="1" x14ac:dyDescent="0.25">
      <c r="A1127" s="30">
        <f>IF(F1127&lt;&gt;"",1+MAX($A$7:A1126),"")</f>
        <v>946</v>
      </c>
      <c r="B1127" s="31"/>
      <c r="C1127" s="50" t="s">
        <v>529</v>
      </c>
      <c r="D1127" s="46">
        <v>51</v>
      </c>
      <c r="E1127" s="28">
        <v>0</v>
      </c>
      <c r="F1127" s="32">
        <f t="shared" si="213"/>
        <v>51</v>
      </c>
      <c r="G1127" s="29" t="s">
        <v>66</v>
      </c>
      <c r="H1127" s="29"/>
      <c r="I1127" s="29"/>
      <c r="J1127" s="33"/>
      <c r="K1127" s="34">
        <f t="shared" si="214"/>
        <v>0</v>
      </c>
      <c r="L1127" s="35"/>
    </row>
    <row r="1128" spans="1:12" s="37" customFormat="1" x14ac:dyDescent="0.25">
      <c r="A1128" s="30">
        <f>IF(F1128&lt;&gt;"",1+MAX($A$7:A1127),"")</f>
        <v>947</v>
      </c>
      <c r="B1128" s="31"/>
      <c r="C1128" s="50" t="s">
        <v>530</v>
      </c>
      <c r="D1128" s="46">
        <v>46</v>
      </c>
      <c r="E1128" s="28">
        <v>0</v>
      </c>
      <c r="F1128" s="32">
        <f t="shared" si="213"/>
        <v>46</v>
      </c>
      <c r="G1128" s="29" t="s">
        <v>66</v>
      </c>
      <c r="H1128" s="29"/>
      <c r="I1128" s="29"/>
      <c r="J1128" s="33"/>
      <c r="K1128" s="34">
        <f t="shared" si="214"/>
        <v>0</v>
      </c>
      <c r="L1128" s="35"/>
    </row>
    <row r="1129" spans="1:12" s="37" customFormat="1" x14ac:dyDescent="0.25">
      <c r="A1129" s="30">
        <f>IF(F1129&lt;&gt;"",1+MAX($A$7:A1128),"")</f>
        <v>948</v>
      </c>
      <c r="B1129" s="31"/>
      <c r="C1129" s="50" t="s">
        <v>531</v>
      </c>
      <c r="D1129" s="46">
        <v>19</v>
      </c>
      <c r="E1129" s="28">
        <v>0</v>
      </c>
      <c r="F1129" s="32">
        <f t="shared" si="213"/>
        <v>19</v>
      </c>
      <c r="G1129" s="29" t="s">
        <v>66</v>
      </c>
      <c r="H1129" s="29"/>
      <c r="I1129" s="29"/>
      <c r="J1129" s="33"/>
      <c r="K1129" s="34">
        <f t="shared" si="214"/>
        <v>0</v>
      </c>
      <c r="L1129" s="35"/>
    </row>
    <row r="1130" spans="1:12" s="37" customFormat="1" x14ac:dyDescent="0.25">
      <c r="A1130" s="30">
        <f>IF(F1130&lt;&gt;"",1+MAX($A$7:A1129),"")</f>
        <v>949</v>
      </c>
      <c r="B1130" s="31"/>
      <c r="C1130" s="50" t="s">
        <v>457</v>
      </c>
      <c r="D1130" s="97">
        <v>4</v>
      </c>
      <c r="E1130" s="28">
        <v>0</v>
      </c>
      <c r="F1130" s="32">
        <f t="shared" si="213"/>
        <v>4</v>
      </c>
      <c r="G1130" s="29" t="s">
        <v>66</v>
      </c>
      <c r="H1130" s="29"/>
      <c r="I1130" s="29"/>
      <c r="J1130" s="33"/>
      <c r="K1130" s="34">
        <f t="shared" si="214"/>
        <v>0</v>
      </c>
      <c r="L1130" s="35"/>
    </row>
    <row r="1131" spans="1:12" s="37" customFormat="1" x14ac:dyDescent="0.25">
      <c r="A1131" s="30" t="str">
        <f>IF(F1131&lt;&gt;"",1+MAX($A$7:A1130),"")</f>
        <v/>
      </c>
      <c r="B1131" s="31"/>
      <c r="C1131" s="50"/>
      <c r="D1131" s="46"/>
      <c r="E1131" s="28"/>
      <c r="F1131" s="32"/>
      <c r="G1131" s="29"/>
      <c r="H1131" s="29"/>
      <c r="I1131" s="29"/>
      <c r="J1131" s="33"/>
      <c r="K1131" s="34"/>
      <c r="L1131" s="35"/>
    </row>
    <row r="1132" spans="1:12" s="37" customFormat="1" x14ac:dyDescent="0.25">
      <c r="A1132" s="30" t="str">
        <f>IF(F1132&lt;&gt;"",1+MAX($A$7:A1131),"")</f>
        <v/>
      </c>
      <c r="B1132" s="31"/>
      <c r="C1132" s="49" t="s">
        <v>214</v>
      </c>
      <c r="D1132" s="44"/>
      <c r="E1132" s="28"/>
      <c r="F1132" s="32"/>
      <c r="G1132" s="29"/>
      <c r="H1132" s="29"/>
      <c r="I1132" s="29"/>
      <c r="J1132" s="36"/>
      <c r="K1132" s="34"/>
      <c r="L1132" s="35"/>
    </row>
    <row r="1133" spans="1:12" s="37" customFormat="1" x14ac:dyDescent="0.25">
      <c r="A1133" s="30">
        <f>IF(F1133&lt;&gt;"",1+MAX($A$7:A1132),"")</f>
        <v>950</v>
      </c>
      <c r="B1133" s="31"/>
      <c r="C1133" s="43" t="s">
        <v>247</v>
      </c>
      <c r="D1133" s="44">
        <v>10</v>
      </c>
      <c r="E1133" s="28">
        <v>0</v>
      </c>
      <c r="F1133" s="32">
        <f t="shared" ref="F1133" si="215">D1133*(1+E1133)</f>
        <v>10</v>
      </c>
      <c r="G1133" s="29" t="s">
        <v>66</v>
      </c>
      <c r="H1133" s="29"/>
      <c r="I1133" s="29"/>
      <c r="J1133" s="33"/>
      <c r="K1133" s="34">
        <f t="shared" ref="K1133" si="216">J1133*F1133</f>
        <v>0</v>
      </c>
      <c r="L1133" s="35"/>
    </row>
    <row r="1134" spans="1:12" s="37" customFormat="1" x14ac:dyDescent="0.25">
      <c r="A1134" s="30">
        <f>IF(F1134&lt;&gt;"",1+MAX($A$7:A1133),"")</f>
        <v>951</v>
      </c>
      <c r="B1134" s="31"/>
      <c r="C1134" s="43" t="s">
        <v>217</v>
      </c>
      <c r="D1134" s="44">
        <v>1</v>
      </c>
      <c r="E1134" s="28">
        <v>0</v>
      </c>
      <c r="F1134" s="32">
        <f t="shared" ref="F1134:F1142" si="217">D1134*(1+E1134)</f>
        <v>1</v>
      </c>
      <c r="G1134" s="29" t="s">
        <v>66</v>
      </c>
      <c r="H1134" s="29"/>
      <c r="I1134" s="29"/>
      <c r="J1134" s="33"/>
      <c r="K1134" s="34">
        <f t="shared" ref="K1134:K1142" si="218">J1134*F1134</f>
        <v>0</v>
      </c>
      <c r="L1134" s="35"/>
    </row>
    <row r="1135" spans="1:12" s="37" customFormat="1" x14ac:dyDescent="0.25">
      <c r="A1135" s="30">
        <f>IF(F1135&lt;&gt;"",1+MAX($A$7:A1134),"")</f>
        <v>952</v>
      </c>
      <c r="B1135" s="31"/>
      <c r="C1135" s="43" t="s">
        <v>218</v>
      </c>
      <c r="D1135" s="46">
        <v>8</v>
      </c>
      <c r="E1135" s="28">
        <v>0</v>
      </c>
      <c r="F1135" s="32">
        <f t="shared" si="217"/>
        <v>8</v>
      </c>
      <c r="G1135" s="29" t="s">
        <v>66</v>
      </c>
      <c r="H1135" s="29"/>
      <c r="I1135" s="29"/>
      <c r="J1135" s="33"/>
      <c r="K1135" s="34">
        <f t="shared" si="218"/>
        <v>0</v>
      </c>
      <c r="L1135" s="35"/>
    </row>
    <row r="1136" spans="1:12" s="37" customFormat="1" x14ac:dyDescent="0.25">
      <c r="A1136" s="30">
        <f>IF(F1136&lt;&gt;"",1+MAX($A$7:A1135),"")</f>
        <v>953</v>
      </c>
      <c r="B1136" s="31"/>
      <c r="C1136" s="43" t="s">
        <v>219</v>
      </c>
      <c r="D1136" s="44">
        <f>39+38+3</f>
        <v>80</v>
      </c>
      <c r="E1136" s="28">
        <v>0</v>
      </c>
      <c r="F1136" s="32">
        <f t="shared" si="217"/>
        <v>80</v>
      </c>
      <c r="G1136" s="29" t="s">
        <v>66</v>
      </c>
      <c r="H1136" s="29"/>
      <c r="I1136" s="29"/>
      <c r="J1136" s="33"/>
      <c r="K1136" s="34">
        <f t="shared" si="218"/>
        <v>0</v>
      </c>
      <c r="L1136" s="35"/>
    </row>
    <row r="1137" spans="1:12" s="37" customFormat="1" x14ac:dyDescent="0.25">
      <c r="A1137" s="30">
        <f>IF(F1137&lt;&gt;"",1+MAX($A$7:A1136),"")</f>
        <v>954</v>
      </c>
      <c r="B1137" s="31"/>
      <c r="C1137" s="43" t="s">
        <v>223</v>
      </c>
      <c r="D1137" s="44">
        <v>1</v>
      </c>
      <c r="E1137" s="28">
        <v>0</v>
      </c>
      <c r="F1137" s="32">
        <f t="shared" si="217"/>
        <v>1</v>
      </c>
      <c r="G1137" s="29" t="s">
        <v>66</v>
      </c>
      <c r="H1137" s="29"/>
      <c r="I1137" s="29"/>
      <c r="J1137" s="33"/>
      <c r="K1137" s="34">
        <f t="shared" si="218"/>
        <v>0</v>
      </c>
      <c r="L1137" s="35"/>
    </row>
    <row r="1138" spans="1:12" s="37" customFormat="1" x14ac:dyDescent="0.25">
      <c r="A1138" s="30">
        <f>IF(F1138&lt;&gt;"",1+MAX($A$7:A1137),"")</f>
        <v>955</v>
      </c>
      <c r="B1138" s="31"/>
      <c r="C1138" s="50" t="s">
        <v>224</v>
      </c>
      <c r="D1138" s="46">
        <v>1</v>
      </c>
      <c r="E1138" s="28">
        <v>0</v>
      </c>
      <c r="F1138" s="32">
        <f t="shared" si="217"/>
        <v>1</v>
      </c>
      <c r="G1138" s="29" t="s">
        <v>66</v>
      </c>
      <c r="H1138" s="29"/>
      <c r="I1138" s="29"/>
      <c r="J1138" s="33"/>
      <c r="K1138" s="34">
        <f t="shared" si="218"/>
        <v>0</v>
      </c>
      <c r="L1138" s="35"/>
    </row>
    <row r="1139" spans="1:12" s="37" customFormat="1" x14ac:dyDescent="0.25">
      <c r="A1139" s="30">
        <f>IF(F1139&lt;&gt;"",1+MAX($A$7:A1138),"")</f>
        <v>956</v>
      </c>
      <c r="B1139" s="31"/>
      <c r="C1139" s="50" t="s">
        <v>225</v>
      </c>
      <c r="D1139" s="46">
        <v>2</v>
      </c>
      <c r="E1139" s="28">
        <v>0</v>
      </c>
      <c r="F1139" s="32">
        <f t="shared" si="217"/>
        <v>2</v>
      </c>
      <c r="G1139" s="29" t="s">
        <v>66</v>
      </c>
      <c r="H1139" s="29"/>
      <c r="I1139" s="29"/>
      <c r="J1139" s="33"/>
      <c r="K1139" s="34">
        <f t="shared" si="218"/>
        <v>0</v>
      </c>
      <c r="L1139" s="35"/>
    </row>
    <row r="1140" spans="1:12" s="37" customFormat="1" x14ac:dyDescent="0.25">
      <c r="A1140" s="30">
        <f>IF(F1140&lt;&gt;"",1+MAX($A$7:A1139),"")</f>
        <v>957</v>
      </c>
      <c r="B1140" s="31"/>
      <c r="C1140" s="50" t="s">
        <v>227</v>
      </c>
      <c r="D1140" s="46">
        <v>2</v>
      </c>
      <c r="E1140" s="28">
        <v>0</v>
      </c>
      <c r="F1140" s="32">
        <f t="shared" si="217"/>
        <v>2</v>
      </c>
      <c r="G1140" s="29" t="s">
        <v>66</v>
      </c>
      <c r="H1140" s="29"/>
      <c r="I1140" s="29"/>
      <c r="J1140" s="33"/>
      <c r="K1140" s="34">
        <f t="shared" si="218"/>
        <v>0</v>
      </c>
      <c r="L1140" s="35"/>
    </row>
    <row r="1141" spans="1:12" s="37" customFormat="1" x14ac:dyDescent="0.25">
      <c r="A1141" s="30">
        <f>IF(F1141&lt;&gt;"",1+MAX($A$7:A1140),"")</f>
        <v>958</v>
      </c>
      <c r="B1141" s="31"/>
      <c r="C1141" s="50" t="s">
        <v>244</v>
      </c>
      <c r="D1141" s="46">
        <v>26</v>
      </c>
      <c r="E1141" s="28">
        <v>0</v>
      </c>
      <c r="F1141" s="32">
        <f t="shared" si="217"/>
        <v>26</v>
      </c>
      <c r="G1141" s="29" t="s">
        <v>66</v>
      </c>
      <c r="H1141" s="29"/>
      <c r="I1141" s="29"/>
      <c r="J1141" s="33"/>
      <c r="K1141" s="34">
        <f t="shared" si="218"/>
        <v>0</v>
      </c>
      <c r="L1141" s="35"/>
    </row>
    <row r="1142" spans="1:12" s="37" customFormat="1" x14ac:dyDescent="0.25">
      <c r="A1142" s="30">
        <f>IF(F1142&lt;&gt;"",1+MAX($A$7:A1141),"")</f>
        <v>959</v>
      </c>
      <c r="B1142" s="31"/>
      <c r="C1142" s="50" t="s">
        <v>231</v>
      </c>
      <c r="D1142" s="46">
        <v>39</v>
      </c>
      <c r="E1142" s="28">
        <v>0</v>
      </c>
      <c r="F1142" s="32">
        <f t="shared" si="217"/>
        <v>39</v>
      </c>
      <c r="G1142" s="29" t="s">
        <v>66</v>
      </c>
      <c r="H1142" s="29"/>
      <c r="I1142" s="29"/>
      <c r="J1142" s="33"/>
      <c r="K1142" s="34">
        <f t="shared" si="218"/>
        <v>0</v>
      </c>
      <c r="L1142" s="35"/>
    </row>
    <row r="1143" spans="1:12" s="37" customFormat="1" x14ac:dyDescent="0.25">
      <c r="A1143" s="30" t="str">
        <f>IF(F1143&lt;&gt;"",1+MAX($A$7:A1142),"")</f>
        <v/>
      </c>
      <c r="B1143" s="31"/>
      <c r="C1143" s="43"/>
      <c r="D1143" s="44"/>
      <c r="E1143" s="28"/>
      <c r="F1143" s="32"/>
      <c r="G1143" s="29"/>
      <c r="H1143" s="29"/>
      <c r="I1143" s="29"/>
      <c r="J1143" s="36"/>
      <c r="K1143" s="34"/>
      <c r="L1143" s="35"/>
    </row>
    <row r="1144" spans="1:12" s="37" customFormat="1" x14ac:dyDescent="0.25">
      <c r="A1144" s="30" t="str">
        <f>IF(F1144&lt;&gt;"",1+MAX($A$7:A1143),"")</f>
        <v/>
      </c>
      <c r="B1144" s="31"/>
      <c r="C1144" s="49" t="s">
        <v>240</v>
      </c>
      <c r="D1144" s="44"/>
      <c r="E1144" s="28"/>
      <c r="F1144" s="32"/>
      <c r="G1144" s="29"/>
      <c r="H1144" s="29"/>
      <c r="I1144" s="29"/>
      <c r="J1144" s="36"/>
      <c r="K1144" s="34"/>
      <c r="L1144" s="35"/>
    </row>
    <row r="1145" spans="1:12" s="37" customFormat="1" x14ac:dyDescent="0.25">
      <c r="A1145" s="30">
        <f>IF(F1145&lt;&gt;"",1+MAX($A$7:A1144),"")</f>
        <v>960</v>
      </c>
      <c r="B1145" s="31"/>
      <c r="C1145" s="43" t="s">
        <v>226</v>
      </c>
      <c r="D1145" s="44">
        <v>4</v>
      </c>
      <c r="E1145" s="28">
        <v>0</v>
      </c>
      <c r="F1145" s="32">
        <f t="shared" ref="F1145" si="219">D1145*(1+E1145)</f>
        <v>4</v>
      </c>
      <c r="G1145" s="29" t="s">
        <v>66</v>
      </c>
      <c r="H1145" s="29"/>
      <c r="I1145" s="29"/>
      <c r="J1145" s="33"/>
      <c r="K1145" s="34">
        <f t="shared" ref="K1145" si="220">J1145*F1145</f>
        <v>0</v>
      </c>
      <c r="L1145" s="35"/>
    </row>
    <row r="1146" spans="1:12" s="37" customFormat="1" x14ac:dyDescent="0.25">
      <c r="A1146" s="30">
        <f>IF(F1146&lt;&gt;"",1+MAX($A$7:A1145),"")</f>
        <v>961</v>
      </c>
      <c r="B1146" s="31"/>
      <c r="C1146" s="43" t="s">
        <v>232</v>
      </c>
      <c r="D1146" s="44">
        <v>15</v>
      </c>
      <c r="E1146" s="28">
        <v>0</v>
      </c>
      <c r="F1146" s="32">
        <f t="shared" ref="F1146:F1154" si="221">D1146*(1+E1146)</f>
        <v>15</v>
      </c>
      <c r="G1146" s="29" t="s">
        <v>66</v>
      </c>
      <c r="H1146" s="29"/>
      <c r="I1146" s="29"/>
      <c r="J1146" s="33"/>
      <c r="K1146" s="34">
        <f t="shared" ref="K1146:K1154" si="222">J1146*F1146</f>
        <v>0</v>
      </c>
      <c r="L1146" s="35"/>
    </row>
    <row r="1147" spans="1:12" s="37" customFormat="1" x14ac:dyDescent="0.25">
      <c r="A1147" s="30">
        <f>IF(F1147&lt;&gt;"",1+MAX($A$7:A1146),"")</f>
        <v>962</v>
      </c>
      <c r="B1147" s="31"/>
      <c r="C1147" s="43" t="s">
        <v>233</v>
      </c>
      <c r="D1147" s="44">
        <v>15</v>
      </c>
      <c r="E1147" s="28">
        <v>0</v>
      </c>
      <c r="F1147" s="32">
        <f t="shared" si="221"/>
        <v>15</v>
      </c>
      <c r="G1147" s="29" t="s">
        <v>66</v>
      </c>
      <c r="H1147" s="29"/>
      <c r="I1147" s="29"/>
      <c r="J1147" s="33"/>
      <c r="K1147" s="34">
        <f t="shared" si="222"/>
        <v>0</v>
      </c>
      <c r="L1147" s="35"/>
    </row>
    <row r="1148" spans="1:12" s="37" customFormat="1" x14ac:dyDescent="0.25">
      <c r="A1148" s="30">
        <f>IF(F1148&lt;&gt;"",1+MAX($A$7:A1147),"")</f>
        <v>963</v>
      </c>
      <c r="B1148" s="31"/>
      <c r="C1148" s="43" t="s">
        <v>234</v>
      </c>
      <c r="D1148" s="44">
        <v>18</v>
      </c>
      <c r="E1148" s="28">
        <v>0</v>
      </c>
      <c r="F1148" s="32">
        <f t="shared" si="221"/>
        <v>18</v>
      </c>
      <c r="G1148" s="29" t="s">
        <v>66</v>
      </c>
      <c r="H1148" s="29"/>
      <c r="I1148" s="29"/>
      <c r="J1148" s="33"/>
      <c r="K1148" s="34">
        <f t="shared" si="222"/>
        <v>0</v>
      </c>
      <c r="L1148" s="35"/>
    </row>
    <row r="1149" spans="1:12" s="37" customFormat="1" x14ac:dyDescent="0.25">
      <c r="A1149" s="30">
        <f>IF(F1149&lt;&gt;"",1+MAX($A$7:A1148),"")</f>
        <v>964</v>
      </c>
      <c r="B1149" s="31"/>
      <c r="C1149" s="43" t="s">
        <v>235</v>
      </c>
      <c r="D1149" s="44">
        <v>22</v>
      </c>
      <c r="E1149" s="28">
        <v>0</v>
      </c>
      <c r="F1149" s="32">
        <f t="shared" si="221"/>
        <v>22</v>
      </c>
      <c r="G1149" s="29" t="s">
        <v>66</v>
      </c>
      <c r="H1149" s="29"/>
      <c r="I1149" s="29"/>
      <c r="J1149" s="33"/>
      <c r="K1149" s="34">
        <f t="shared" si="222"/>
        <v>0</v>
      </c>
      <c r="L1149" s="35"/>
    </row>
    <row r="1150" spans="1:12" s="37" customFormat="1" x14ac:dyDescent="0.25">
      <c r="A1150" s="30">
        <f>IF(F1150&lt;&gt;"",1+MAX($A$7:A1149),"")</f>
        <v>965</v>
      </c>
      <c r="B1150" s="31"/>
      <c r="C1150" s="43" t="s">
        <v>236</v>
      </c>
      <c r="D1150" s="44">
        <v>11</v>
      </c>
      <c r="E1150" s="28">
        <v>0</v>
      </c>
      <c r="F1150" s="32">
        <f t="shared" si="221"/>
        <v>11</v>
      </c>
      <c r="G1150" s="29" t="s">
        <v>66</v>
      </c>
      <c r="H1150" s="29"/>
      <c r="I1150" s="29"/>
      <c r="J1150" s="33"/>
      <c r="K1150" s="34">
        <f t="shared" si="222"/>
        <v>0</v>
      </c>
      <c r="L1150" s="35"/>
    </row>
    <row r="1151" spans="1:12" s="37" customFormat="1" x14ac:dyDescent="0.25">
      <c r="A1151" s="30">
        <f>IF(F1151&lt;&gt;"",1+MAX($A$7:A1150),"")</f>
        <v>966</v>
      </c>
      <c r="B1151" s="31"/>
      <c r="C1151" s="43" t="s">
        <v>245</v>
      </c>
      <c r="D1151" s="44">
        <v>8</v>
      </c>
      <c r="E1151" s="28">
        <v>0</v>
      </c>
      <c r="F1151" s="32">
        <f t="shared" si="221"/>
        <v>8</v>
      </c>
      <c r="G1151" s="29" t="s">
        <v>66</v>
      </c>
      <c r="H1151" s="29"/>
      <c r="I1151" s="29"/>
      <c r="J1151" s="33"/>
      <c r="K1151" s="34">
        <f t="shared" si="222"/>
        <v>0</v>
      </c>
      <c r="L1151" s="35"/>
    </row>
    <row r="1152" spans="1:12" s="37" customFormat="1" x14ac:dyDescent="0.25">
      <c r="A1152" s="30">
        <f>IF(F1152&lt;&gt;"",1+MAX($A$7:A1151),"")</f>
        <v>967</v>
      </c>
      <c r="B1152" s="31"/>
      <c r="C1152" s="43" t="s">
        <v>237</v>
      </c>
      <c r="D1152" s="44">
        <v>26</v>
      </c>
      <c r="E1152" s="28">
        <v>0</v>
      </c>
      <c r="F1152" s="32">
        <f t="shared" si="221"/>
        <v>26</v>
      </c>
      <c r="G1152" s="29" t="s">
        <v>66</v>
      </c>
      <c r="H1152" s="29"/>
      <c r="I1152" s="29"/>
      <c r="J1152" s="33"/>
      <c r="K1152" s="34">
        <f t="shared" si="222"/>
        <v>0</v>
      </c>
      <c r="L1152" s="35"/>
    </row>
    <row r="1153" spans="1:12" s="37" customFormat="1" x14ac:dyDescent="0.25">
      <c r="A1153" s="30">
        <f>IF(F1153&lt;&gt;"",1+MAX($A$7:A1152),"")</f>
        <v>968</v>
      </c>
      <c r="B1153" s="31"/>
      <c r="C1153" s="43" t="s">
        <v>239</v>
      </c>
      <c r="D1153" s="44">
        <v>2</v>
      </c>
      <c r="E1153" s="28">
        <v>0</v>
      </c>
      <c r="F1153" s="32">
        <f t="shared" si="221"/>
        <v>2</v>
      </c>
      <c r="G1153" s="29" t="s">
        <v>66</v>
      </c>
      <c r="H1153" s="29"/>
      <c r="I1153" s="29"/>
      <c r="J1153" s="33"/>
      <c r="K1153" s="34">
        <f t="shared" si="222"/>
        <v>0</v>
      </c>
      <c r="L1153" s="35"/>
    </row>
    <row r="1154" spans="1:12" s="37" customFormat="1" x14ac:dyDescent="0.25">
      <c r="A1154" s="30">
        <f>IF(F1154&lt;&gt;"",1+MAX($A$7:A1153),"")</f>
        <v>969</v>
      </c>
      <c r="B1154" s="31"/>
      <c r="C1154" s="43" t="s">
        <v>243</v>
      </c>
      <c r="D1154" s="44">
        <v>31</v>
      </c>
      <c r="E1154" s="28">
        <v>0</v>
      </c>
      <c r="F1154" s="32">
        <f t="shared" si="221"/>
        <v>31</v>
      </c>
      <c r="G1154" s="29" t="s">
        <v>66</v>
      </c>
      <c r="H1154" s="29"/>
      <c r="I1154" s="29"/>
      <c r="J1154" s="33"/>
      <c r="K1154" s="34">
        <f t="shared" si="222"/>
        <v>0</v>
      </c>
      <c r="L1154" s="35"/>
    </row>
    <row r="1155" spans="1:12" s="37" customFormat="1" x14ac:dyDescent="0.25">
      <c r="A1155" s="30" t="str">
        <f>IF(F1155&lt;&gt;"",1+MAX($A$7:A1154),"")</f>
        <v/>
      </c>
      <c r="B1155" s="31"/>
      <c r="C1155" s="43"/>
      <c r="D1155" s="44"/>
      <c r="E1155" s="28"/>
      <c r="F1155" s="32"/>
      <c r="G1155" s="29"/>
      <c r="H1155" s="29"/>
      <c r="I1155" s="29"/>
      <c r="J1155" s="33"/>
      <c r="K1155" s="34"/>
      <c r="L1155" s="35"/>
    </row>
    <row r="1156" spans="1:12" s="37" customFormat="1" x14ac:dyDescent="0.25">
      <c r="A1156" s="30" t="str">
        <f>IF(F1156&lt;&gt;"",1+MAX($A$7:A1155),"")</f>
        <v/>
      </c>
      <c r="B1156" s="31"/>
      <c r="C1156" s="49" t="s">
        <v>71</v>
      </c>
      <c r="D1156" s="44"/>
      <c r="E1156" s="28"/>
      <c r="F1156" s="32"/>
      <c r="G1156" s="29"/>
      <c r="H1156" s="29"/>
      <c r="I1156" s="29"/>
      <c r="J1156" s="36"/>
      <c r="K1156" s="34"/>
      <c r="L1156" s="35"/>
    </row>
    <row r="1157" spans="1:12" s="37" customFormat="1" x14ac:dyDescent="0.25">
      <c r="A1157" s="30">
        <f>IF(F1157&lt;&gt;"",1+MAX($A$7:A1156),"")</f>
        <v>970</v>
      </c>
      <c r="B1157" s="31"/>
      <c r="C1157" s="43" t="s">
        <v>230</v>
      </c>
      <c r="D1157" s="44">
        <f>4+33+17+2</f>
        <v>56</v>
      </c>
      <c r="E1157" s="28">
        <v>0</v>
      </c>
      <c r="F1157" s="32">
        <f t="shared" ref="F1157:F1159" si="223">D1157*(1+E1157)</f>
        <v>56</v>
      </c>
      <c r="G1157" s="29" t="s">
        <v>66</v>
      </c>
      <c r="H1157" s="29"/>
      <c r="I1157" s="29"/>
      <c r="J1157" s="33"/>
      <c r="K1157" s="34">
        <f t="shared" ref="K1157:K1159" si="224">J1157*F1157</f>
        <v>0</v>
      </c>
      <c r="L1157" s="35"/>
    </row>
    <row r="1158" spans="1:12" s="37" customFormat="1" x14ac:dyDescent="0.25">
      <c r="A1158" s="30">
        <f>IF(F1158&lt;&gt;"",1+MAX($A$7:A1157),"")</f>
        <v>971</v>
      </c>
      <c r="B1158" s="31"/>
      <c r="C1158" s="43" t="s">
        <v>241</v>
      </c>
      <c r="D1158" s="44">
        <v>1</v>
      </c>
      <c r="E1158" s="28">
        <v>0</v>
      </c>
      <c r="F1158" s="32">
        <f t="shared" si="223"/>
        <v>1</v>
      </c>
      <c r="G1158" s="29" t="s">
        <v>66</v>
      </c>
      <c r="H1158" s="29"/>
      <c r="I1158" s="29"/>
      <c r="J1158" s="33"/>
      <c r="K1158" s="34">
        <f t="shared" si="224"/>
        <v>0</v>
      </c>
      <c r="L1158" s="35"/>
    </row>
    <row r="1159" spans="1:12" s="37" customFormat="1" x14ac:dyDescent="0.25">
      <c r="A1159" s="30">
        <f>IF(F1159&lt;&gt;"",1+MAX($A$7:A1158),"")</f>
        <v>972</v>
      </c>
      <c r="B1159" s="31"/>
      <c r="C1159" s="43" t="s">
        <v>242</v>
      </c>
      <c r="D1159" s="44">
        <v>2</v>
      </c>
      <c r="E1159" s="28">
        <v>0</v>
      </c>
      <c r="F1159" s="32">
        <f t="shared" si="223"/>
        <v>2</v>
      </c>
      <c r="G1159" s="29" t="s">
        <v>66</v>
      </c>
      <c r="H1159" s="29"/>
      <c r="I1159" s="29"/>
      <c r="J1159" s="33"/>
      <c r="K1159" s="34">
        <f t="shared" si="224"/>
        <v>0</v>
      </c>
      <c r="L1159" s="35"/>
    </row>
    <row r="1160" spans="1:12" s="37" customFormat="1" x14ac:dyDescent="0.25">
      <c r="A1160" s="30" t="str">
        <f>IF(F1160&lt;&gt;"",1+MAX($A$7:A1159),"")</f>
        <v/>
      </c>
      <c r="B1160" s="31"/>
      <c r="C1160" s="49"/>
      <c r="D1160" s="44"/>
      <c r="E1160" s="28"/>
      <c r="F1160" s="32"/>
      <c r="G1160" s="29"/>
      <c r="H1160" s="29"/>
      <c r="I1160" s="29"/>
      <c r="J1160" s="36"/>
      <c r="K1160" s="34"/>
      <c r="L1160" s="35"/>
    </row>
    <row r="1161" spans="1:12" s="37" customFormat="1" x14ac:dyDescent="0.25">
      <c r="A1161" s="30" t="str">
        <f>IF(F1161&lt;&gt;"",1+MAX($A$7:A1160),"")</f>
        <v/>
      </c>
      <c r="B1161" s="31"/>
      <c r="C1161" s="45" t="s">
        <v>532</v>
      </c>
      <c r="D1161" s="97"/>
      <c r="E1161" s="28"/>
      <c r="F1161" s="32"/>
      <c r="G1161" s="29"/>
      <c r="H1161" s="29"/>
      <c r="I1161" s="29"/>
      <c r="J1161" s="33"/>
      <c r="K1161" s="34"/>
      <c r="L1161" s="35"/>
    </row>
    <row r="1162" spans="1:12" s="37" customFormat="1" ht="30" x14ac:dyDescent="0.25">
      <c r="A1162" s="30">
        <f>IF(F1162&lt;&gt;"",1+MAX($A$7:A1161),"")</f>
        <v>973</v>
      </c>
      <c r="B1162" s="31"/>
      <c r="C1162" s="50" t="s">
        <v>533</v>
      </c>
      <c r="D1162" s="97">
        <v>1</v>
      </c>
      <c r="E1162" s="28">
        <v>0</v>
      </c>
      <c r="F1162" s="32">
        <f t="shared" ref="F1162:F1173" si="225">D1162*(1+E1162)</f>
        <v>1</v>
      </c>
      <c r="G1162" s="29" t="s">
        <v>66</v>
      </c>
      <c r="H1162" s="29"/>
      <c r="I1162" s="29"/>
      <c r="J1162" s="33"/>
      <c r="K1162" s="34">
        <f t="shared" ref="K1162:K1173" si="226">J1162*F1162</f>
        <v>0</v>
      </c>
      <c r="L1162" s="35"/>
    </row>
    <row r="1163" spans="1:12" s="37" customFormat="1" ht="30" x14ac:dyDescent="0.25">
      <c r="A1163" s="30">
        <f>IF(F1163&lt;&gt;"",1+MAX($A$7:A1162),"")</f>
        <v>974</v>
      </c>
      <c r="B1163" s="31"/>
      <c r="C1163" s="50" t="s">
        <v>534</v>
      </c>
      <c r="D1163" s="97">
        <v>1</v>
      </c>
      <c r="E1163" s="28">
        <v>0</v>
      </c>
      <c r="F1163" s="32">
        <f t="shared" si="225"/>
        <v>1</v>
      </c>
      <c r="G1163" s="29" t="s">
        <v>66</v>
      </c>
      <c r="H1163" s="29"/>
      <c r="I1163" s="29"/>
      <c r="J1163" s="33"/>
      <c r="K1163" s="34">
        <f t="shared" si="226"/>
        <v>0</v>
      </c>
      <c r="L1163" s="35"/>
    </row>
    <row r="1164" spans="1:12" s="37" customFormat="1" x14ac:dyDescent="0.25">
      <c r="A1164" s="30">
        <f>IF(F1164&lt;&gt;"",1+MAX($A$7:A1163),"")</f>
        <v>975</v>
      </c>
      <c r="B1164" s="31"/>
      <c r="C1164" s="50" t="s">
        <v>535</v>
      </c>
      <c r="D1164" s="97">
        <v>1</v>
      </c>
      <c r="E1164" s="28">
        <v>0</v>
      </c>
      <c r="F1164" s="32">
        <f t="shared" si="225"/>
        <v>1</v>
      </c>
      <c r="G1164" s="29" t="s">
        <v>66</v>
      </c>
      <c r="H1164" s="29"/>
      <c r="I1164" s="29"/>
      <c r="J1164" s="33"/>
      <c r="K1164" s="34">
        <f t="shared" si="226"/>
        <v>0</v>
      </c>
      <c r="L1164" s="35"/>
    </row>
    <row r="1165" spans="1:12" s="37" customFormat="1" x14ac:dyDescent="0.25">
      <c r="A1165" s="30">
        <f>IF(F1165&lt;&gt;"",1+MAX($A$7:A1164),"")</f>
        <v>976</v>
      </c>
      <c r="B1165" s="31"/>
      <c r="C1165" s="50" t="s">
        <v>536</v>
      </c>
      <c r="D1165" s="97">
        <v>5</v>
      </c>
      <c r="E1165" s="28">
        <v>0</v>
      </c>
      <c r="F1165" s="32">
        <f t="shared" si="225"/>
        <v>5</v>
      </c>
      <c r="G1165" s="29" t="s">
        <v>66</v>
      </c>
      <c r="H1165" s="29"/>
      <c r="I1165" s="29"/>
      <c r="J1165" s="33"/>
      <c r="K1165" s="34">
        <f t="shared" si="226"/>
        <v>0</v>
      </c>
      <c r="L1165" s="35"/>
    </row>
    <row r="1166" spans="1:12" s="37" customFormat="1" x14ac:dyDescent="0.25">
      <c r="A1166" s="30">
        <f>IF(F1166&lt;&gt;"",1+MAX($A$7:A1165),"")</f>
        <v>977</v>
      </c>
      <c r="B1166" s="31"/>
      <c r="C1166" s="50" t="s">
        <v>537</v>
      </c>
      <c r="D1166" s="97">
        <v>1</v>
      </c>
      <c r="E1166" s="28">
        <v>0</v>
      </c>
      <c r="F1166" s="32">
        <f t="shared" si="225"/>
        <v>1</v>
      </c>
      <c r="G1166" s="29" t="s">
        <v>66</v>
      </c>
      <c r="H1166" s="29"/>
      <c r="I1166" s="29"/>
      <c r="J1166" s="33"/>
      <c r="K1166" s="34">
        <f t="shared" si="226"/>
        <v>0</v>
      </c>
      <c r="L1166" s="35"/>
    </row>
    <row r="1167" spans="1:12" s="37" customFormat="1" x14ac:dyDescent="0.25">
      <c r="A1167" s="30">
        <f>IF(F1167&lt;&gt;"",1+MAX($A$7:A1166),"")</f>
        <v>978</v>
      </c>
      <c r="B1167" s="31"/>
      <c r="C1167" s="50" t="s">
        <v>538</v>
      </c>
      <c r="D1167" s="97">
        <v>1</v>
      </c>
      <c r="E1167" s="28">
        <v>0</v>
      </c>
      <c r="F1167" s="32">
        <f t="shared" si="225"/>
        <v>1</v>
      </c>
      <c r="G1167" s="29" t="s">
        <v>66</v>
      </c>
      <c r="H1167" s="29"/>
      <c r="I1167" s="29"/>
      <c r="J1167" s="33"/>
      <c r="K1167" s="34">
        <f t="shared" si="226"/>
        <v>0</v>
      </c>
      <c r="L1167" s="35"/>
    </row>
    <row r="1168" spans="1:12" s="37" customFormat="1" x14ac:dyDescent="0.25">
      <c r="A1168" s="30">
        <f>IF(F1168&lt;&gt;"",1+MAX($A$7:A1167),"")</f>
        <v>979</v>
      </c>
      <c r="B1168" s="31"/>
      <c r="C1168" s="50" t="s">
        <v>539</v>
      </c>
      <c r="D1168" s="97">
        <v>1</v>
      </c>
      <c r="E1168" s="28">
        <v>0</v>
      </c>
      <c r="F1168" s="32">
        <f t="shared" si="225"/>
        <v>1</v>
      </c>
      <c r="G1168" s="29" t="s">
        <v>66</v>
      </c>
      <c r="H1168" s="29"/>
      <c r="I1168" s="29"/>
      <c r="J1168" s="33"/>
      <c r="K1168" s="34">
        <f t="shared" si="226"/>
        <v>0</v>
      </c>
      <c r="L1168" s="35"/>
    </row>
    <row r="1169" spans="1:12" s="37" customFormat="1" ht="30" x14ac:dyDescent="0.25">
      <c r="A1169" s="30">
        <f>IF(F1169&lt;&gt;"",1+MAX($A$7:A1168),"")</f>
        <v>980</v>
      </c>
      <c r="B1169" s="31"/>
      <c r="C1169" s="50" t="s">
        <v>540</v>
      </c>
      <c r="D1169" s="97">
        <v>1</v>
      </c>
      <c r="E1169" s="28">
        <v>0</v>
      </c>
      <c r="F1169" s="32">
        <f t="shared" si="225"/>
        <v>1</v>
      </c>
      <c r="G1169" s="29" t="s">
        <v>66</v>
      </c>
      <c r="H1169" s="29"/>
      <c r="I1169" s="29"/>
      <c r="J1169" s="33"/>
      <c r="K1169" s="34">
        <f t="shared" si="226"/>
        <v>0</v>
      </c>
      <c r="L1169" s="35"/>
    </row>
    <row r="1170" spans="1:12" s="37" customFormat="1" x14ac:dyDescent="0.25">
      <c r="A1170" s="30">
        <f>IF(F1170&lt;&gt;"",1+MAX($A$7:A1169),"")</f>
        <v>981</v>
      </c>
      <c r="B1170" s="31"/>
      <c r="C1170" s="50" t="s">
        <v>541</v>
      </c>
      <c r="D1170" s="97">
        <v>7</v>
      </c>
      <c r="E1170" s="28">
        <v>0</v>
      </c>
      <c r="F1170" s="32">
        <f t="shared" si="225"/>
        <v>7</v>
      </c>
      <c r="G1170" s="29" t="s">
        <v>66</v>
      </c>
      <c r="H1170" s="29"/>
      <c r="I1170" s="29"/>
      <c r="J1170" s="33"/>
      <c r="K1170" s="34">
        <f t="shared" si="226"/>
        <v>0</v>
      </c>
      <c r="L1170" s="35"/>
    </row>
    <row r="1171" spans="1:12" s="37" customFormat="1" x14ac:dyDescent="0.25">
      <c r="A1171" s="30">
        <f>IF(F1171&lt;&gt;"",1+MAX($A$7:A1170),"")</f>
        <v>982</v>
      </c>
      <c r="B1171" s="31"/>
      <c r="C1171" s="50" t="s">
        <v>542</v>
      </c>
      <c r="D1171" s="97">
        <v>2</v>
      </c>
      <c r="E1171" s="28">
        <v>0</v>
      </c>
      <c r="F1171" s="32">
        <f t="shared" si="225"/>
        <v>2</v>
      </c>
      <c r="G1171" s="29" t="s">
        <v>66</v>
      </c>
      <c r="H1171" s="29"/>
      <c r="I1171" s="29"/>
      <c r="J1171" s="33"/>
      <c r="K1171" s="34">
        <f t="shared" si="226"/>
        <v>0</v>
      </c>
      <c r="L1171" s="35"/>
    </row>
    <row r="1172" spans="1:12" s="37" customFormat="1" ht="30" x14ac:dyDescent="0.25">
      <c r="A1172" s="30">
        <f>IF(F1172&lt;&gt;"",1+MAX($A$7:A1171),"")</f>
        <v>983</v>
      </c>
      <c r="B1172" s="31"/>
      <c r="C1172" s="50" t="s">
        <v>543</v>
      </c>
      <c r="D1172" s="97">
        <v>3</v>
      </c>
      <c r="E1172" s="28">
        <v>0</v>
      </c>
      <c r="F1172" s="32">
        <f t="shared" si="225"/>
        <v>3</v>
      </c>
      <c r="G1172" s="29" t="s">
        <v>66</v>
      </c>
      <c r="H1172" s="29"/>
      <c r="I1172" s="29"/>
      <c r="J1172" s="33"/>
      <c r="K1172" s="34">
        <f t="shared" si="226"/>
        <v>0</v>
      </c>
      <c r="L1172" s="35"/>
    </row>
    <row r="1173" spans="1:12" s="37" customFormat="1" ht="30" x14ac:dyDescent="0.25">
      <c r="A1173" s="30">
        <f>IF(F1173&lt;&gt;"",1+MAX($A$7:A1172),"")</f>
        <v>984</v>
      </c>
      <c r="B1173" s="31"/>
      <c r="C1173" s="50" t="s">
        <v>544</v>
      </c>
      <c r="D1173" s="97">
        <v>1</v>
      </c>
      <c r="E1173" s="28">
        <v>0</v>
      </c>
      <c r="F1173" s="32">
        <f t="shared" si="225"/>
        <v>1</v>
      </c>
      <c r="G1173" s="29" t="s">
        <v>66</v>
      </c>
      <c r="H1173" s="29"/>
      <c r="I1173" s="29"/>
      <c r="J1173" s="33"/>
      <c r="K1173" s="34">
        <f t="shared" si="226"/>
        <v>0</v>
      </c>
      <c r="L1173" s="35"/>
    </row>
    <row r="1174" spans="1:12" s="37" customFormat="1" x14ac:dyDescent="0.25">
      <c r="A1174" s="30" t="str">
        <f>IF(F1174&lt;&gt;"",1+MAX($A$7:A1173),"")</f>
        <v/>
      </c>
      <c r="B1174" s="31"/>
      <c r="C1174" s="50"/>
      <c r="D1174" s="97"/>
      <c r="E1174" s="28"/>
      <c r="F1174" s="32"/>
      <c r="G1174" s="29"/>
      <c r="H1174" s="29"/>
      <c r="I1174" s="29"/>
      <c r="J1174" s="33"/>
      <c r="K1174" s="34"/>
      <c r="L1174" s="35"/>
    </row>
    <row r="1175" spans="1:12" s="37" customFormat="1" x14ac:dyDescent="0.25">
      <c r="A1175" s="30" t="str">
        <f>IF(F1175&lt;&gt;"",1+MAX($A$7:A1174),"")</f>
        <v/>
      </c>
      <c r="B1175" s="31"/>
      <c r="C1175" s="49" t="s">
        <v>228</v>
      </c>
      <c r="D1175" s="44"/>
      <c r="E1175" s="28"/>
      <c r="F1175" s="32"/>
      <c r="G1175" s="29"/>
      <c r="H1175" s="29"/>
      <c r="I1175" s="29"/>
      <c r="J1175" s="36"/>
      <c r="K1175" s="34"/>
      <c r="L1175" s="35"/>
    </row>
    <row r="1176" spans="1:12" s="37" customFormat="1" x14ac:dyDescent="0.25">
      <c r="A1176" s="30">
        <f>IF(F1176&lt;&gt;"",1+MAX($A$7:A1175),"")</f>
        <v>985</v>
      </c>
      <c r="B1176" s="31"/>
      <c r="C1176" s="43" t="s">
        <v>229</v>
      </c>
      <c r="D1176" s="44">
        <v>1</v>
      </c>
      <c r="E1176" s="28">
        <v>0</v>
      </c>
      <c r="F1176" s="32">
        <f t="shared" ref="F1176:F1177" si="227">D1176*(1+E1176)</f>
        <v>1</v>
      </c>
      <c r="G1176" s="29" t="s">
        <v>66</v>
      </c>
      <c r="H1176" s="29"/>
      <c r="I1176" s="29"/>
      <c r="J1176" s="33"/>
      <c r="K1176" s="34">
        <f t="shared" ref="K1176:K1177" si="228">J1176*F1176</f>
        <v>0</v>
      </c>
      <c r="L1176" s="35"/>
    </row>
    <row r="1177" spans="1:12" s="37" customFormat="1" x14ac:dyDescent="0.25">
      <c r="A1177" s="30">
        <f>IF(F1177&lt;&gt;"",1+MAX($A$7:A1176),"")</f>
        <v>986</v>
      </c>
      <c r="B1177" s="31"/>
      <c r="C1177" s="50" t="s">
        <v>458</v>
      </c>
      <c r="D1177" s="97">
        <v>16</v>
      </c>
      <c r="E1177" s="28">
        <v>0</v>
      </c>
      <c r="F1177" s="32">
        <f t="shared" si="227"/>
        <v>16</v>
      </c>
      <c r="G1177" s="29" t="s">
        <v>66</v>
      </c>
      <c r="H1177" s="29"/>
      <c r="I1177" s="29"/>
      <c r="J1177" s="33"/>
      <c r="K1177" s="34">
        <f t="shared" si="228"/>
        <v>0</v>
      </c>
      <c r="L1177" s="35"/>
    </row>
    <row r="1178" spans="1:12" s="37" customFormat="1" x14ac:dyDescent="0.25">
      <c r="A1178" s="30" t="str">
        <f>IF(F1178&lt;&gt;"",1+MAX($A$7:A1177),"")</f>
        <v/>
      </c>
      <c r="B1178" s="31"/>
      <c r="C1178" s="50"/>
      <c r="D1178" s="97"/>
      <c r="E1178" s="28"/>
      <c r="F1178" s="32"/>
      <c r="G1178" s="29"/>
      <c r="H1178" s="29"/>
      <c r="I1178" s="29"/>
      <c r="J1178" s="33"/>
      <c r="K1178" s="34"/>
      <c r="L1178" s="35"/>
    </row>
    <row r="1179" spans="1:12" s="37" customFormat="1" x14ac:dyDescent="0.25">
      <c r="A1179" s="30" t="str">
        <f>IF(F1179&lt;&gt;"",1+MAX($A$7:A1178),"")</f>
        <v/>
      </c>
      <c r="B1179" s="31"/>
      <c r="C1179" s="96" t="s">
        <v>193</v>
      </c>
      <c r="D1179" s="46"/>
      <c r="E1179" s="28"/>
      <c r="F1179" s="32"/>
      <c r="G1179" s="29"/>
      <c r="H1179" s="29"/>
      <c r="I1179" s="29"/>
      <c r="J1179" s="33"/>
      <c r="K1179" s="34"/>
      <c r="L1179" s="35"/>
    </row>
    <row r="1180" spans="1:12" s="37" customFormat="1" x14ac:dyDescent="0.25">
      <c r="A1180" s="30" t="str">
        <f>IF(F1180&lt;&gt;"",1+MAX($A$7:A1179),"")</f>
        <v/>
      </c>
      <c r="B1180" s="31"/>
      <c r="C1180" s="50"/>
      <c r="D1180" s="46"/>
      <c r="E1180" s="28"/>
      <c r="F1180" s="32"/>
      <c r="G1180" s="29"/>
      <c r="H1180" s="29"/>
      <c r="I1180" s="29"/>
      <c r="J1180" s="36"/>
      <c r="K1180" s="34"/>
      <c r="L1180" s="35"/>
    </row>
    <row r="1181" spans="1:12" s="37" customFormat="1" x14ac:dyDescent="0.25">
      <c r="A1181" s="30" t="str">
        <f>IF(F1181&lt;&gt;"",1+MAX($A$7:A1180),"")</f>
        <v/>
      </c>
      <c r="B1181" s="31"/>
      <c r="C1181" s="45" t="s">
        <v>194</v>
      </c>
      <c r="D1181" s="46"/>
      <c r="E1181" s="28"/>
      <c r="F1181" s="32"/>
      <c r="G1181" s="29"/>
      <c r="H1181" s="29"/>
      <c r="I1181" s="29"/>
      <c r="J1181" s="36"/>
      <c r="K1181" s="34"/>
      <c r="L1181" s="35"/>
    </row>
    <row r="1182" spans="1:12" s="37" customFormat="1" x14ac:dyDescent="0.25">
      <c r="A1182" s="30">
        <f>IF(F1182&lt;&gt;"",1+MAX($A$7:A1181),"")</f>
        <v>987</v>
      </c>
      <c r="B1182" s="31"/>
      <c r="C1182" s="50" t="s">
        <v>195</v>
      </c>
      <c r="D1182" s="46">
        <v>8</v>
      </c>
      <c r="E1182" s="28">
        <v>0</v>
      </c>
      <c r="F1182" s="32">
        <f t="shared" ref="F1182:F1205" si="229">D1182*(1+E1182)</f>
        <v>8</v>
      </c>
      <c r="G1182" s="29" t="s">
        <v>66</v>
      </c>
      <c r="H1182" s="29"/>
      <c r="I1182" s="29"/>
      <c r="J1182" s="33"/>
      <c r="K1182" s="34">
        <f t="shared" ref="K1182:K1205" si="230">J1182*F1182</f>
        <v>0</v>
      </c>
      <c r="L1182" s="35"/>
    </row>
    <row r="1183" spans="1:12" s="37" customFormat="1" x14ac:dyDescent="0.25">
      <c r="A1183" s="30">
        <f>IF(F1183&lt;&gt;"",1+MAX($A$7:A1182),"")</f>
        <v>988</v>
      </c>
      <c r="B1183" s="31"/>
      <c r="C1183" s="50" t="s">
        <v>196</v>
      </c>
      <c r="D1183" s="46">
        <v>7</v>
      </c>
      <c r="E1183" s="28">
        <v>0</v>
      </c>
      <c r="F1183" s="32">
        <f t="shared" si="229"/>
        <v>7</v>
      </c>
      <c r="G1183" s="29" t="s">
        <v>66</v>
      </c>
      <c r="H1183" s="29"/>
      <c r="I1183" s="29"/>
      <c r="J1183" s="36"/>
      <c r="K1183" s="34">
        <f t="shared" si="230"/>
        <v>0</v>
      </c>
      <c r="L1183" s="35"/>
    </row>
    <row r="1184" spans="1:12" s="37" customFormat="1" x14ac:dyDescent="0.25">
      <c r="A1184" s="30">
        <f>IF(F1184&lt;&gt;"",1+MAX($A$7:A1183),"")</f>
        <v>989</v>
      </c>
      <c r="B1184" s="31"/>
      <c r="C1184" s="43" t="s">
        <v>197</v>
      </c>
      <c r="D1184" s="44">
        <v>5</v>
      </c>
      <c r="E1184" s="28">
        <v>0</v>
      </c>
      <c r="F1184" s="32">
        <f t="shared" si="229"/>
        <v>5</v>
      </c>
      <c r="G1184" s="29" t="s">
        <v>66</v>
      </c>
      <c r="H1184" s="29"/>
      <c r="I1184" s="29"/>
      <c r="J1184" s="36"/>
      <c r="K1184" s="34">
        <f t="shared" si="230"/>
        <v>0</v>
      </c>
      <c r="L1184" s="35"/>
    </row>
    <row r="1185" spans="1:12" s="37" customFormat="1" x14ac:dyDescent="0.25">
      <c r="A1185" s="30">
        <f>IF(F1185&lt;&gt;"",1+MAX($A$7:A1184),"")</f>
        <v>990</v>
      </c>
      <c r="B1185" s="31"/>
      <c r="C1185" s="50" t="s">
        <v>198</v>
      </c>
      <c r="D1185" s="46">
        <v>7</v>
      </c>
      <c r="E1185" s="28">
        <v>0</v>
      </c>
      <c r="F1185" s="32">
        <f t="shared" si="229"/>
        <v>7</v>
      </c>
      <c r="G1185" s="29" t="s">
        <v>66</v>
      </c>
      <c r="H1185" s="29"/>
      <c r="I1185" s="29"/>
      <c r="J1185" s="33"/>
      <c r="K1185" s="34">
        <f t="shared" si="230"/>
        <v>0</v>
      </c>
      <c r="L1185" s="35"/>
    </row>
    <row r="1186" spans="1:12" s="37" customFormat="1" x14ac:dyDescent="0.25">
      <c r="A1186" s="30">
        <f>IF(F1186&lt;&gt;"",1+MAX($A$7:A1185),"")</f>
        <v>991</v>
      </c>
      <c r="B1186" s="31"/>
      <c r="C1186" s="50" t="s">
        <v>199</v>
      </c>
      <c r="D1186" s="46">
        <v>14</v>
      </c>
      <c r="E1186" s="28">
        <v>0</v>
      </c>
      <c r="F1186" s="32">
        <f t="shared" si="229"/>
        <v>14</v>
      </c>
      <c r="G1186" s="29" t="s">
        <v>66</v>
      </c>
      <c r="H1186" s="29"/>
      <c r="I1186" s="29"/>
      <c r="J1186" s="33"/>
      <c r="K1186" s="34">
        <f t="shared" si="230"/>
        <v>0</v>
      </c>
      <c r="L1186" s="35"/>
    </row>
    <row r="1187" spans="1:12" s="37" customFormat="1" x14ac:dyDescent="0.25">
      <c r="A1187" s="30">
        <f>IF(F1187&lt;&gt;"",1+MAX($A$7:A1186),"")</f>
        <v>992</v>
      </c>
      <c r="B1187" s="31"/>
      <c r="C1187" s="50" t="s">
        <v>200</v>
      </c>
      <c r="D1187" s="46">
        <v>3</v>
      </c>
      <c r="E1187" s="28">
        <v>0</v>
      </c>
      <c r="F1187" s="32">
        <f t="shared" si="229"/>
        <v>3</v>
      </c>
      <c r="G1187" s="29" t="s">
        <v>66</v>
      </c>
      <c r="H1187" s="29"/>
      <c r="I1187" s="29"/>
      <c r="J1187" s="36"/>
      <c r="K1187" s="34">
        <f t="shared" si="230"/>
        <v>0</v>
      </c>
      <c r="L1187" s="35"/>
    </row>
    <row r="1188" spans="1:12" s="37" customFormat="1" x14ac:dyDescent="0.25">
      <c r="A1188" s="30">
        <f>IF(F1188&lt;&gt;"",1+MAX($A$7:A1187),"")</f>
        <v>993</v>
      </c>
      <c r="B1188" s="31"/>
      <c r="C1188" s="50" t="s">
        <v>202</v>
      </c>
      <c r="D1188" s="46">
        <v>2</v>
      </c>
      <c r="E1188" s="28">
        <v>0</v>
      </c>
      <c r="F1188" s="32">
        <f t="shared" si="229"/>
        <v>2</v>
      </c>
      <c r="G1188" s="29" t="s">
        <v>66</v>
      </c>
      <c r="H1188" s="29"/>
      <c r="I1188" s="29"/>
      <c r="J1188" s="36"/>
      <c r="K1188" s="34">
        <f t="shared" si="230"/>
        <v>0</v>
      </c>
      <c r="L1188" s="35"/>
    </row>
    <row r="1189" spans="1:12" s="37" customFormat="1" x14ac:dyDescent="0.25">
      <c r="A1189" s="30">
        <f>IF(F1189&lt;&gt;"",1+MAX($A$7:A1188),"")</f>
        <v>994</v>
      </c>
      <c r="B1189" s="31"/>
      <c r="C1189" s="50" t="s">
        <v>201</v>
      </c>
      <c r="D1189" s="46">
        <v>1</v>
      </c>
      <c r="E1189" s="28">
        <v>0</v>
      </c>
      <c r="F1189" s="32">
        <f t="shared" si="229"/>
        <v>1</v>
      </c>
      <c r="G1189" s="29" t="s">
        <v>66</v>
      </c>
      <c r="H1189" s="29"/>
      <c r="I1189" s="29"/>
      <c r="J1189" s="33"/>
      <c r="K1189" s="34">
        <f t="shared" si="230"/>
        <v>0</v>
      </c>
      <c r="L1189" s="35"/>
    </row>
    <row r="1190" spans="1:12" s="37" customFormat="1" x14ac:dyDescent="0.25">
      <c r="A1190" s="30">
        <f>IF(F1190&lt;&gt;"",1+MAX($A$7:A1189),"")</f>
        <v>995</v>
      </c>
      <c r="B1190" s="31"/>
      <c r="C1190" s="50" t="s">
        <v>203</v>
      </c>
      <c r="D1190" s="46">
        <v>3</v>
      </c>
      <c r="E1190" s="28">
        <v>0</v>
      </c>
      <c r="F1190" s="32">
        <f t="shared" si="229"/>
        <v>3</v>
      </c>
      <c r="G1190" s="29" t="s">
        <v>66</v>
      </c>
      <c r="H1190" s="29"/>
      <c r="I1190" s="29"/>
      <c r="J1190" s="33"/>
      <c r="K1190" s="34">
        <f t="shared" si="230"/>
        <v>0</v>
      </c>
      <c r="L1190" s="35"/>
    </row>
    <row r="1191" spans="1:12" s="37" customFormat="1" x14ac:dyDescent="0.25">
      <c r="A1191" s="30">
        <f>IF(F1191&lt;&gt;"",1+MAX($A$7:A1190),"")</f>
        <v>996</v>
      </c>
      <c r="B1191" s="31"/>
      <c r="C1191" s="50" t="s">
        <v>204</v>
      </c>
      <c r="D1191" s="46">
        <v>2</v>
      </c>
      <c r="E1191" s="28">
        <v>0</v>
      </c>
      <c r="F1191" s="32">
        <f t="shared" si="229"/>
        <v>2</v>
      </c>
      <c r="G1191" s="29" t="s">
        <v>66</v>
      </c>
      <c r="H1191" s="29"/>
      <c r="I1191" s="29"/>
      <c r="J1191" s="36"/>
      <c r="K1191" s="34">
        <f t="shared" si="230"/>
        <v>0</v>
      </c>
      <c r="L1191" s="35"/>
    </row>
    <row r="1192" spans="1:12" s="37" customFormat="1" x14ac:dyDescent="0.25">
      <c r="A1192" s="30">
        <f>IF(F1192&lt;&gt;"",1+MAX($A$7:A1191),"")</f>
        <v>997</v>
      </c>
      <c r="B1192" s="31"/>
      <c r="C1192" s="50" t="s">
        <v>205</v>
      </c>
      <c r="D1192" s="44">
        <v>5</v>
      </c>
      <c r="E1192" s="28">
        <v>0</v>
      </c>
      <c r="F1192" s="32">
        <f t="shared" si="229"/>
        <v>5</v>
      </c>
      <c r="G1192" s="29" t="s">
        <v>66</v>
      </c>
      <c r="H1192" s="29"/>
      <c r="I1192" s="29"/>
      <c r="J1192" s="33"/>
      <c r="K1192" s="34">
        <f t="shared" si="230"/>
        <v>0</v>
      </c>
      <c r="L1192" s="35"/>
    </row>
    <row r="1193" spans="1:12" s="37" customFormat="1" x14ac:dyDescent="0.25">
      <c r="A1193" s="30">
        <f>IF(F1193&lt;&gt;"",1+MAX($A$7:A1192),"")</f>
        <v>998</v>
      </c>
      <c r="B1193" s="31"/>
      <c r="C1193" s="50" t="s">
        <v>206</v>
      </c>
      <c r="D1193" s="44">
        <v>6</v>
      </c>
      <c r="E1193" s="28">
        <v>0</v>
      </c>
      <c r="F1193" s="32">
        <f t="shared" si="229"/>
        <v>6</v>
      </c>
      <c r="G1193" s="29" t="s">
        <v>66</v>
      </c>
      <c r="H1193" s="29"/>
      <c r="I1193" s="29"/>
      <c r="J1193" s="33"/>
      <c r="K1193" s="34">
        <f t="shared" si="230"/>
        <v>0</v>
      </c>
      <c r="L1193" s="35"/>
    </row>
    <row r="1194" spans="1:12" s="37" customFormat="1" x14ac:dyDescent="0.25">
      <c r="A1194" s="30">
        <f>IF(F1194&lt;&gt;"",1+MAX($A$7:A1193),"")</f>
        <v>999</v>
      </c>
      <c r="B1194" s="31"/>
      <c r="C1194" s="50" t="s">
        <v>207</v>
      </c>
      <c r="D1194" s="44">
        <v>3</v>
      </c>
      <c r="E1194" s="28">
        <v>0</v>
      </c>
      <c r="F1194" s="32">
        <f t="shared" si="229"/>
        <v>3</v>
      </c>
      <c r="G1194" s="29" t="s">
        <v>66</v>
      </c>
      <c r="H1194" s="29"/>
      <c r="I1194" s="29"/>
      <c r="J1194" s="33"/>
      <c r="K1194" s="34">
        <f t="shared" si="230"/>
        <v>0</v>
      </c>
      <c r="L1194" s="35"/>
    </row>
    <row r="1195" spans="1:12" s="37" customFormat="1" x14ac:dyDescent="0.25">
      <c r="A1195" s="30">
        <f>IF(F1195&lt;&gt;"",1+MAX($A$7:A1194),"")</f>
        <v>1000</v>
      </c>
      <c r="B1195" s="31"/>
      <c r="C1195" s="37" t="s">
        <v>208</v>
      </c>
      <c r="D1195" s="46">
        <v>16</v>
      </c>
      <c r="E1195" s="28">
        <v>0</v>
      </c>
      <c r="F1195" s="32">
        <f t="shared" si="229"/>
        <v>16</v>
      </c>
      <c r="G1195" s="29" t="s">
        <v>66</v>
      </c>
      <c r="H1195" s="29"/>
      <c r="I1195" s="29"/>
      <c r="J1195" s="33"/>
      <c r="K1195" s="34">
        <f t="shared" si="230"/>
        <v>0</v>
      </c>
      <c r="L1195" s="35"/>
    </row>
    <row r="1196" spans="1:12" s="37" customFormat="1" x14ac:dyDescent="0.25">
      <c r="A1196" s="30">
        <f>IF(F1196&lt;&gt;"",1+MAX($A$7:A1195),"")</f>
        <v>1001</v>
      </c>
      <c r="B1196" s="31"/>
      <c r="C1196" s="37" t="s">
        <v>209</v>
      </c>
      <c r="D1196" s="46">
        <v>8</v>
      </c>
      <c r="E1196" s="28">
        <v>0</v>
      </c>
      <c r="F1196" s="32">
        <f t="shared" si="229"/>
        <v>8</v>
      </c>
      <c r="G1196" s="29" t="s">
        <v>66</v>
      </c>
      <c r="H1196" s="29"/>
      <c r="I1196" s="29"/>
      <c r="J1196" s="33"/>
      <c r="K1196" s="34">
        <f t="shared" si="230"/>
        <v>0</v>
      </c>
      <c r="L1196" s="35"/>
    </row>
    <row r="1197" spans="1:12" s="37" customFormat="1" x14ac:dyDescent="0.25">
      <c r="A1197" s="30">
        <f>IF(F1197&lt;&gt;"",1+MAX($A$7:A1196),"")</f>
        <v>1002</v>
      </c>
      <c r="B1197" s="31"/>
      <c r="C1197" s="37" t="s">
        <v>210</v>
      </c>
      <c r="D1197" s="46">
        <v>43</v>
      </c>
      <c r="E1197" s="28">
        <v>0</v>
      </c>
      <c r="F1197" s="32">
        <f t="shared" si="229"/>
        <v>43</v>
      </c>
      <c r="G1197" s="29" t="s">
        <v>66</v>
      </c>
      <c r="H1197" s="29"/>
      <c r="I1197" s="29"/>
      <c r="J1197" s="33"/>
      <c r="K1197" s="34">
        <f t="shared" si="230"/>
        <v>0</v>
      </c>
      <c r="L1197" s="35"/>
    </row>
    <row r="1198" spans="1:12" s="37" customFormat="1" x14ac:dyDescent="0.25">
      <c r="A1198" s="30">
        <f>IF(F1198&lt;&gt;"",1+MAX($A$7:A1197),"")</f>
        <v>1003</v>
      </c>
      <c r="B1198" s="31"/>
      <c r="C1198" s="37" t="s">
        <v>211</v>
      </c>
      <c r="D1198" s="46">
        <v>63</v>
      </c>
      <c r="E1198" s="28">
        <v>0</v>
      </c>
      <c r="F1198" s="32">
        <f t="shared" si="229"/>
        <v>63</v>
      </c>
      <c r="G1198" s="29" t="s">
        <v>66</v>
      </c>
      <c r="H1198" s="29"/>
      <c r="I1198" s="29"/>
      <c r="J1198" s="33"/>
      <c r="K1198" s="34">
        <f t="shared" si="230"/>
        <v>0</v>
      </c>
      <c r="L1198" s="35"/>
    </row>
    <row r="1199" spans="1:12" s="37" customFormat="1" x14ac:dyDescent="0.25">
      <c r="A1199" s="30">
        <f>IF(F1199&lt;&gt;"",1+MAX($A$7:A1198),"")</f>
        <v>1004</v>
      </c>
      <c r="B1199" s="31"/>
      <c r="C1199" s="50" t="s">
        <v>212</v>
      </c>
      <c r="D1199" s="44">
        <v>2</v>
      </c>
      <c r="E1199" s="28">
        <v>0</v>
      </c>
      <c r="F1199" s="32">
        <f t="shared" si="229"/>
        <v>2</v>
      </c>
      <c r="G1199" s="29" t="s">
        <v>66</v>
      </c>
      <c r="H1199" s="29"/>
      <c r="I1199" s="29"/>
      <c r="J1199" s="33"/>
      <c r="K1199" s="34">
        <f t="shared" si="230"/>
        <v>0</v>
      </c>
      <c r="L1199" s="35"/>
    </row>
    <row r="1200" spans="1:12" s="37" customFormat="1" x14ac:dyDescent="0.25">
      <c r="A1200" s="30">
        <f>IF(F1200&lt;&gt;"",1+MAX($A$7:A1199),"")</f>
        <v>1005</v>
      </c>
      <c r="B1200" s="31"/>
      <c r="C1200" s="50" t="s">
        <v>213</v>
      </c>
      <c r="D1200" s="44">
        <v>1</v>
      </c>
      <c r="E1200" s="28">
        <v>0</v>
      </c>
      <c r="F1200" s="32">
        <f t="shared" si="229"/>
        <v>1</v>
      </c>
      <c r="G1200" s="29" t="s">
        <v>66</v>
      </c>
      <c r="H1200" s="29"/>
      <c r="I1200" s="29"/>
      <c r="J1200" s="33"/>
      <c r="K1200" s="34">
        <f t="shared" si="230"/>
        <v>0</v>
      </c>
      <c r="L1200" s="35"/>
    </row>
    <row r="1201" spans="1:12" s="37" customFormat="1" x14ac:dyDescent="0.25">
      <c r="A1201" s="30">
        <f>IF(F1201&lt;&gt;"",1+MAX($A$7:A1200),"")</f>
        <v>1006</v>
      </c>
      <c r="B1201" s="31"/>
      <c r="C1201" s="37" t="s">
        <v>845</v>
      </c>
      <c r="D1201" s="44">
        <v>2</v>
      </c>
      <c r="E1201" s="28">
        <v>0</v>
      </c>
      <c r="F1201" s="32">
        <f t="shared" si="229"/>
        <v>2</v>
      </c>
      <c r="G1201" s="29" t="s">
        <v>66</v>
      </c>
      <c r="H1201" s="29"/>
      <c r="I1201" s="29"/>
      <c r="J1201" s="33"/>
      <c r="K1201" s="34">
        <f t="shared" si="230"/>
        <v>0</v>
      </c>
      <c r="L1201" s="35"/>
    </row>
    <row r="1202" spans="1:12" s="37" customFormat="1" x14ac:dyDescent="0.25">
      <c r="A1202" s="30">
        <f>IF(F1202&lt;&gt;"",1+MAX($A$7:A1201),"")</f>
        <v>1007</v>
      </c>
      <c r="B1202" s="31"/>
      <c r="C1202" s="37" t="s">
        <v>846</v>
      </c>
      <c r="D1202" s="44">
        <v>2</v>
      </c>
      <c r="E1202" s="28">
        <v>0</v>
      </c>
      <c r="F1202" s="32">
        <f t="shared" si="229"/>
        <v>2</v>
      </c>
      <c r="G1202" s="29" t="s">
        <v>66</v>
      </c>
      <c r="H1202" s="29"/>
      <c r="I1202" s="29"/>
      <c r="J1202" s="33"/>
      <c r="K1202" s="34">
        <f t="shared" si="230"/>
        <v>0</v>
      </c>
      <c r="L1202" s="35"/>
    </row>
    <row r="1203" spans="1:12" s="37" customFormat="1" x14ac:dyDescent="0.25">
      <c r="A1203" s="30">
        <f>IF(F1203&lt;&gt;"",1+MAX($A$7:A1202),"")</f>
        <v>1008</v>
      </c>
      <c r="B1203" s="31"/>
      <c r="C1203" s="37" t="s">
        <v>847</v>
      </c>
      <c r="D1203" s="44">
        <v>1</v>
      </c>
      <c r="E1203" s="28">
        <v>0</v>
      </c>
      <c r="F1203" s="32">
        <f t="shared" si="229"/>
        <v>1</v>
      </c>
      <c r="G1203" s="29" t="s">
        <v>66</v>
      </c>
      <c r="H1203" s="29"/>
      <c r="I1203" s="29"/>
      <c r="J1203" s="33"/>
      <c r="K1203" s="34">
        <f t="shared" si="230"/>
        <v>0</v>
      </c>
      <c r="L1203" s="35"/>
    </row>
    <row r="1204" spans="1:12" s="37" customFormat="1" x14ac:dyDescent="0.25">
      <c r="A1204" s="30">
        <f>IF(F1204&lt;&gt;"",1+MAX($A$7:A1203),"")</f>
        <v>1009</v>
      </c>
      <c r="B1204" s="31"/>
      <c r="C1204" s="37" t="s">
        <v>848</v>
      </c>
      <c r="D1204" s="44">
        <v>1</v>
      </c>
      <c r="E1204" s="28">
        <v>0</v>
      </c>
      <c r="F1204" s="32">
        <f t="shared" si="229"/>
        <v>1</v>
      </c>
      <c r="G1204" s="29" t="s">
        <v>66</v>
      </c>
      <c r="H1204" s="29"/>
      <c r="I1204" s="29"/>
      <c r="J1204" s="33"/>
      <c r="K1204" s="34">
        <f t="shared" si="230"/>
        <v>0</v>
      </c>
      <c r="L1204" s="35"/>
    </row>
    <row r="1205" spans="1:12" s="37" customFormat="1" x14ac:dyDescent="0.25">
      <c r="A1205" s="30">
        <f>IF(F1205&lt;&gt;"",1+MAX($A$7:A1204),"")</f>
        <v>1010</v>
      </c>
      <c r="B1205" s="31"/>
      <c r="C1205" s="37" t="s">
        <v>849</v>
      </c>
      <c r="D1205" s="44">
        <v>2</v>
      </c>
      <c r="E1205" s="28">
        <v>0</v>
      </c>
      <c r="F1205" s="32">
        <f t="shared" si="229"/>
        <v>2</v>
      </c>
      <c r="G1205" s="29" t="s">
        <v>66</v>
      </c>
      <c r="H1205" s="29"/>
      <c r="I1205" s="29"/>
      <c r="J1205" s="33"/>
      <c r="K1205" s="34">
        <f t="shared" si="230"/>
        <v>0</v>
      </c>
      <c r="L1205" s="35"/>
    </row>
    <row r="1206" spans="1:12" s="37" customFormat="1" x14ac:dyDescent="0.25">
      <c r="A1206" s="30" t="str">
        <f>IF(F1206&lt;&gt;"",1+MAX($A$7:A1205),"")</f>
        <v/>
      </c>
      <c r="B1206" s="31"/>
      <c r="D1206" s="44"/>
      <c r="E1206" s="28"/>
      <c r="F1206" s="32"/>
      <c r="G1206" s="29"/>
      <c r="H1206" s="29"/>
      <c r="I1206" s="29"/>
      <c r="J1206" s="33"/>
      <c r="K1206" s="34"/>
      <c r="L1206" s="35"/>
    </row>
    <row r="1207" spans="1:12" s="37" customFormat="1" x14ac:dyDescent="0.25">
      <c r="A1207" s="30">
        <f>IF(F1207&lt;&gt;"",1+MAX($A$7:A1206),"")</f>
        <v>1011</v>
      </c>
      <c r="B1207" s="31"/>
      <c r="C1207" s="98" t="s">
        <v>545</v>
      </c>
      <c r="D1207" s="44">
        <v>1</v>
      </c>
      <c r="E1207" s="28">
        <v>0</v>
      </c>
      <c r="F1207" s="32">
        <f t="shared" ref="F1207" si="231">D1207*(1+E1207)</f>
        <v>1</v>
      </c>
      <c r="G1207" s="29" t="s">
        <v>13</v>
      </c>
      <c r="H1207" s="29"/>
      <c r="I1207" s="29"/>
      <c r="J1207" s="33"/>
      <c r="K1207" s="34">
        <f t="shared" ref="K1207" si="232">J1207*F1207</f>
        <v>0</v>
      </c>
      <c r="L1207" s="35"/>
    </row>
    <row r="1208" spans="1:12" s="37" customFormat="1" ht="15.75" thickBot="1" x14ac:dyDescent="0.3">
      <c r="A1208" s="30" t="str">
        <f>IF(F1208&lt;&gt;"",1+MAX($A$7:A1207),"")</f>
        <v/>
      </c>
      <c r="B1208" s="31"/>
      <c r="D1208" s="44"/>
      <c r="E1208" s="28"/>
      <c r="F1208" s="32"/>
      <c r="G1208" s="29"/>
      <c r="H1208" s="29"/>
      <c r="I1208" s="29"/>
      <c r="J1208" s="33"/>
      <c r="K1208" s="34"/>
      <c r="L1208" s="35"/>
    </row>
    <row r="1209" spans="1:12" ht="15.75" thickBot="1" x14ac:dyDescent="0.3">
      <c r="A1209" s="99" t="str">
        <f>IF(F1209&lt;&gt;"",1+MAX($A$7:A1208),"")</f>
        <v/>
      </c>
      <c r="B1209" s="7" t="s">
        <v>59</v>
      </c>
      <c r="C1209" s="48" t="s">
        <v>60</v>
      </c>
      <c r="D1209" s="102"/>
      <c r="E1209" s="8"/>
      <c r="F1209" s="8"/>
      <c r="G1209" s="7"/>
      <c r="H1209" s="7"/>
      <c r="I1209" s="7"/>
      <c r="J1209" s="25"/>
      <c r="K1209" s="21"/>
      <c r="L1209" s="9">
        <f>SUM(K1210:K1217)</f>
        <v>0</v>
      </c>
    </row>
    <row r="1210" spans="1:12" s="37" customFormat="1" x14ac:dyDescent="0.25">
      <c r="A1210" s="30" t="str">
        <f>IF(F1210&lt;&gt;"",1+MAX($A$7:A1209),"")</f>
        <v/>
      </c>
      <c r="B1210" s="31"/>
      <c r="C1210" s="43"/>
      <c r="D1210" s="44"/>
      <c r="E1210" s="28"/>
      <c r="F1210" s="32"/>
      <c r="G1210" s="29"/>
      <c r="H1210" s="29"/>
      <c r="I1210" s="29"/>
      <c r="J1210" s="36"/>
      <c r="K1210" s="34"/>
      <c r="L1210" s="35"/>
    </row>
    <row r="1211" spans="1:12" s="37" customFormat="1" x14ac:dyDescent="0.25">
      <c r="A1211" s="30" t="str">
        <f>IF(F1211&lt;&gt;"",1+MAX($A$7:A1210),"")</f>
        <v/>
      </c>
      <c r="B1211" s="31"/>
      <c r="C1211" s="49" t="s">
        <v>374</v>
      </c>
      <c r="D1211" s="44"/>
      <c r="E1211" s="28"/>
      <c r="F1211" s="32"/>
      <c r="G1211" s="29"/>
      <c r="H1211" s="29"/>
      <c r="I1211" s="29"/>
      <c r="J1211" s="36"/>
      <c r="K1211" s="34"/>
      <c r="L1211" s="35"/>
    </row>
    <row r="1212" spans="1:12" s="37" customFormat="1" x14ac:dyDescent="0.25">
      <c r="A1212" s="30">
        <f>IF(F1212&lt;&gt;"",1+MAX($A$7:A1211),"")</f>
        <v>1012</v>
      </c>
      <c r="B1212" s="31"/>
      <c r="C1212" s="43" t="s">
        <v>375</v>
      </c>
      <c r="D1212" s="44">
        <v>13493</v>
      </c>
      <c r="E1212" s="28">
        <v>0.1</v>
      </c>
      <c r="F1212" s="32">
        <f t="shared" ref="F1212" si="233">D1212*(1+E1212)</f>
        <v>14842.300000000001</v>
      </c>
      <c r="G1212" s="29" t="s">
        <v>379</v>
      </c>
      <c r="H1212" s="29"/>
      <c r="I1212" s="29"/>
      <c r="J1212" s="33"/>
      <c r="K1212" s="34">
        <f t="shared" ref="K1212" si="234">J1212*F1212</f>
        <v>0</v>
      </c>
      <c r="L1212" s="35"/>
    </row>
    <row r="1213" spans="1:12" s="37" customFormat="1" x14ac:dyDescent="0.25">
      <c r="A1213" s="30" t="str">
        <f>IF(F1213&lt;&gt;"",1+MAX($A$7:A1212),"")</f>
        <v/>
      </c>
      <c r="B1213" s="31"/>
      <c r="C1213" s="43"/>
      <c r="D1213" s="44"/>
      <c r="E1213" s="28"/>
      <c r="F1213" s="32"/>
      <c r="G1213" s="29"/>
      <c r="H1213" s="29"/>
      <c r="I1213" s="29"/>
      <c r="J1213" s="36"/>
      <c r="K1213" s="34"/>
      <c r="L1213" s="35"/>
    </row>
    <row r="1214" spans="1:12" s="37" customFormat="1" x14ac:dyDescent="0.25">
      <c r="A1214" s="30" t="str">
        <f>IF(F1214&lt;&gt;"",1+MAX($A$7:A1213),"")</f>
        <v/>
      </c>
      <c r="B1214" s="31"/>
      <c r="C1214" s="49" t="s">
        <v>376</v>
      </c>
      <c r="D1214" s="44"/>
      <c r="E1214" s="28"/>
      <c r="F1214" s="32"/>
      <c r="G1214" s="29"/>
      <c r="H1214" s="29"/>
      <c r="I1214" s="29"/>
      <c r="J1214" s="36"/>
      <c r="K1214" s="34"/>
      <c r="L1214" s="35"/>
    </row>
    <row r="1215" spans="1:12" s="37" customFormat="1" x14ac:dyDescent="0.25">
      <c r="A1215" s="30">
        <f>IF(F1215&lt;&gt;"",1+MAX($A$7:A1214),"")</f>
        <v>1013</v>
      </c>
      <c r="B1215" s="31"/>
      <c r="C1215" s="43" t="s">
        <v>377</v>
      </c>
      <c r="D1215" s="44">
        <v>1741.24</v>
      </c>
      <c r="E1215" s="28">
        <v>0.1</v>
      </c>
      <c r="F1215" s="32">
        <f t="shared" ref="F1215:F1216" si="235">D1215*(1+E1215)</f>
        <v>1915.3640000000003</v>
      </c>
      <c r="G1215" s="29" t="s">
        <v>379</v>
      </c>
      <c r="H1215" s="29"/>
      <c r="I1215" s="29"/>
      <c r="J1215" s="33"/>
      <c r="K1215" s="34">
        <f t="shared" ref="K1215:K1216" si="236">J1215*F1215</f>
        <v>0</v>
      </c>
      <c r="L1215" s="35"/>
    </row>
    <row r="1216" spans="1:12" s="37" customFormat="1" x14ac:dyDescent="0.25">
      <c r="A1216" s="30">
        <f>IF(F1216&lt;&gt;"",1+MAX($A$7:A1215),"")</f>
        <v>1014</v>
      </c>
      <c r="B1216" s="31"/>
      <c r="C1216" s="43" t="s">
        <v>378</v>
      </c>
      <c r="D1216" s="44">
        <v>5878</v>
      </c>
      <c r="E1216" s="28">
        <v>0.1</v>
      </c>
      <c r="F1216" s="32">
        <f t="shared" si="235"/>
        <v>6465.8</v>
      </c>
      <c r="G1216" s="29" t="s">
        <v>379</v>
      </c>
      <c r="H1216" s="29"/>
      <c r="I1216" s="29"/>
      <c r="J1216" s="33"/>
      <c r="K1216" s="34">
        <f t="shared" si="236"/>
        <v>0</v>
      </c>
      <c r="L1216" s="35"/>
    </row>
    <row r="1217" spans="1:12" s="37" customFormat="1" x14ac:dyDescent="0.25">
      <c r="A1217" s="30" t="str">
        <f>IF(F1217&lt;&gt;"",1+MAX($A$7:A1216),"")</f>
        <v/>
      </c>
      <c r="B1217" s="31"/>
      <c r="C1217" s="43"/>
      <c r="D1217" s="44"/>
      <c r="E1217" s="28"/>
      <c r="F1217" s="32"/>
      <c r="G1217" s="29"/>
      <c r="H1217" s="29"/>
      <c r="I1217" s="29"/>
      <c r="J1217" s="33"/>
      <c r="K1217" s="34"/>
      <c r="L1217" s="35"/>
    </row>
    <row r="1218" spans="1:12" ht="15.75" thickBot="1" x14ac:dyDescent="0.25">
      <c r="A1218" s="18"/>
      <c r="B1218" s="12"/>
      <c r="C1218" s="51"/>
      <c r="D1218" s="104"/>
      <c r="E1218" s="13"/>
      <c r="F1218" s="14"/>
      <c r="G1218" s="15"/>
      <c r="H1218" s="15"/>
      <c r="I1218" s="15"/>
      <c r="J1218" s="26"/>
      <c r="K1218" s="22"/>
      <c r="L1218" s="16"/>
    </row>
    <row r="1219" spans="1:12" ht="15.75" thickBot="1" x14ac:dyDescent="0.25">
      <c r="A1219" s="53" t="s">
        <v>1</v>
      </c>
      <c r="B1219" s="54"/>
      <c r="C1219" s="55"/>
      <c r="D1219" s="105"/>
      <c r="E1219" s="56"/>
      <c r="F1219" s="56"/>
      <c r="G1219" s="57"/>
      <c r="H1219" s="57"/>
      <c r="I1219" s="57"/>
      <c r="J1219" s="58"/>
      <c r="K1219" s="59">
        <f>SUM(K6:K1218)</f>
        <v>0</v>
      </c>
      <c r="L1219" s="60">
        <f>SUM(L6:L1218)</f>
        <v>0</v>
      </c>
    </row>
    <row r="1220" spans="1:12" ht="15.75" thickBot="1" x14ac:dyDescent="0.25">
      <c r="A1220" s="53" t="s">
        <v>10</v>
      </c>
      <c r="B1220" s="54"/>
      <c r="C1220" s="55"/>
      <c r="D1220" s="105"/>
      <c r="E1220" s="56"/>
      <c r="F1220" s="56"/>
      <c r="G1220" s="57"/>
      <c r="H1220" s="57"/>
      <c r="I1220" s="57"/>
      <c r="J1220" s="61">
        <v>0.25</v>
      </c>
      <c r="K1220" s="59">
        <f>J1220*K1219</f>
        <v>0</v>
      </c>
      <c r="L1220" s="60">
        <f>J1220*L1219</f>
        <v>0</v>
      </c>
    </row>
    <row r="1221" spans="1:12" ht="15.75" thickBot="1" x14ac:dyDescent="0.25">
      <c r="A1221" s="62" t="s">
        <v>9</v>
      </c>
      <c r="B1221" s="63"/>
      <c r="C1221" s="64"/>
      <c r="D1221" s="106"/>
      <c r="E1221" s="65"/>
      <c r="F1221" s="65"/>
      <c r="G1221" s="66"/>
      <c r="H1221" s="66"/>
      <c r="I1221" s="66"/>
      <c r="J1221" s="67"/>
      <c r="K1221" s="68">
        <f>SUM(K1219:K1220)</f>
        <v>0</v>
      </c>
      <c r="L1221" s="69">
        <f>SUM(L1219:L1220)</f>
        <v>0</v>
      </c>
    </row>
    <row r="1222" spans="1:12" ht="15.75" thickBot="1" x14ac:dyDescent="0.25">
      <c r="A1222" s="70"/>
      <c r="B1222" s="71"/>
      <c r="C1222" s="72"/>
      <c r="D1222" s="107"/>
      <c r="E1222" s="73"/>
      <c r="F1222" s="73"/>
      <c r="G1222" s="74"/>
      <c r="H1222" s="74"/>
      <c r="I1222" s="74"/>
      <c r="J1222" s="75"/>
      <c r="K1222" s="76"/>
      <c r="L1222" s="77"/>
    </row>
    <row r="1223" spans="1:12" ht="15.75" thickBot="1" x14ac:dyDescent="0.25">
      <c r="A1223" s="78"/>
      <c r="B1223" s="54"/>
      <c r="C1223" s="79" t="s">
        <v>64</v>
      </c>
      <c r="D1223" s="108"/>
      <c r="E1223" s="80"/>
      <c r="F1223" s="80"/>
      <c r="G1223" s="57"/>
      <c r="H1223" s="57"/>
      <c r="I1223" s="57"/>
      <c r="J1223" s="54"/>
      <c r="K1223" s="81"/>
      <c r="L1223" s="82"/>
    </row>
    <row r="1224" spans="1:12" ht="15.75" thickBot="1" x14ac:dyDescent="0.25">
      <c r="A1224" s="83" t="s">
        <v>61</v>
      </c>
      <c r="B1224" s="84"/>
      <c r="C1224" s="85"/>
      <c r="D1224" s="109"/>
      <c r="E1224" s="84"/>
      <c r="F1224" s="84"/>
      <c r="G1224" s="86"/>
      <c r="H1224" s="86"/>
      <c r="I1224" s="86"/>
      <c r="J1224" s="84"/>
      <c r="K1224" s="84"/>
      <c r="L1224" s="87"/>
    </row>
    <row r="1225" spans="1:12" x14ac:dyDescent="0.25">
      <c r="A1225" s="88" t="s">
        <v>62</v>
      </c>
      <c r="B1225" s="89"/>
      <c r="C1225" s="90"/>
      <c r="D1225" s="110"/>
      <c r="E1225" s="89"/>
      <c r="F1225" s="89"/>
      <c r="G1225" s="91"/>
      <c r="H1225" s="91"/>
      <c r="I1225" s="91"/>
      <c r="J1225" s="89"/>
      <c r="K1225" s="89"/>
      <c r="L1225" s="92"/>
    </row>
    <row r="1226" spans="1:12" x14ac:dyDescent="0.25">
      <c r="A1226" s="93" t="s">
        <v>63</v>
      </c>
      <c r="B1226" s="93"/>
      <c r="C1226" s="94"/>
      <c r="D1226" s="111"/>
      <c r="E1226" s="93"/>
      <c r="F1226" s="93"/>
      <c r="G1226" s="95"/>
      <c r="H1226" s="95"/>
      <c r="I1226" s="95"/>
      <c r="J1226" s="93"/>
      <c r="K1226" s="93"/>
      <c r="L1226" s="93"/>
    </row>
    <row r="1227" spans="1:12" x14ac:dyDescent="0.25">
      <c r="A1227" s="93" t="s">
        <v>1118</v>
      </c>
      <c r="B1227" s="93"/>
      <c r="C1227" s="94"/>
      <c r="D1227" s="111"/>
      <c r="E1227" s="93"/>
      <c r="F1227" s="93"/>
      <c r="G1227" s="95"/>
      <c r="H1227" s="95"/>
      <c r="I1227" s="95"/>
      <c r="J1227" s="93"/>
      <c r="K1227" s="93"/>
      <c r="L1227" s="93"/>
    </row>
  </sheetData>
  <mergeCells count="5">
    <mergeCell ref="F1:L1"/>
    <mergeCell ref="F2:L3"/>
    <mergeCell ref="A1:C1"/>
    <mergeCell ref="A2:C2"/>
    <mergeCell ref="A3:C3"/>
  </mergeCells>
  <printOptions horizontalCentered="1" verticalCentered="1"/>
  <pageMargins left="0.7" right="0.7" top="0.75" bottom="0.75" header="0.3" footer="0.3"/>
  <pageSetup scale="1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vt:i4>
      </vt:variant>
      <vt:variant>
        <vt:lpstr>Charts</vt:lpstr>
      </vt:variant>
      <vt:variant>
        <vt:i4>1</vt:i4>
      </vt:variant>
      <vt:variant>
        <vt:lpstr>Named Ranges</vt:lpstr>
      </vt:variant>
      <vt:variant>
        <vt:i4>1</vt:i4>
      </vt:variant>
    </vt:vector>
  </HeadingPairs>
  <TitlesOfParts>
    <vt:vector size="4" baseType="lpstr">
      <vt:lpstr>Sheet1</vt:lpstr>
      <vt:lpstr>DETAILED ESTIMATE</vt:lpstr>
      <vt:lpstr>Chart1</vt:lpstr>
      <vt:lpstr>'DETAILED ESTIMATE'!Print_Area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Marks</dc:creator>
  <cp:lastModifiedBy>Windows User</cp:lastModifiedBy>
  <cp:lastPrinted>2018-10-19T19:32:17Z</cp:lastPrinted>
  <dcterms:created xsi:type="dcterms:W3CDTF">2004-05-05T14:08:18Z</dcterms:created>
  <dcterms:modified xsi:type="dcterms:W3CDTF">2019-11-01T17:45:34Z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S9Connected">
    <vt:bool>true</vt:bool>
  </property>
</Properties>
</file>